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G:\.shortcut-targets-by-id\1pwhcPUVMKAK9W4X914lT2PLba5nzlvm0\00 Seguimientos\07 Micrositio\Junio 2022\"/>
    </mc:Choice>
  </mc:AlternateContent>
  <xr:revisionPtr revIDLastSave="0" documentId="13_ncr:1_{B65F2A82-1AFD-4866-96C0-C10D89E96D89}" xr6:coauthVersionLast="47" xr6:coauthVersionMax="47" xr10:uidLastSave="{00000000-0000-0000-0000-000000000000}"/>
  <workbookProtection workbookAlgorithmName="SHA-512" workbookHashValue="UeHWVubQml4SnyGz2TP0rBuA19t8zr4/mOxqpijgt2EMkg/8lzlEwfb9Od+bWMmh/i0AXl+fLl8WAm2SVUk50Q==" workbookSaltValue="1a1liu6wRf0kz3wx78a0aQ==" workbookSpinCount="100000" lockStructure="1"/>
  <bookViews>
    <workbookView xWindow="-120" yWindow="-120" windowWidth="20730" windowHeight="11040" firstSheet="20" activeTab="20" xr2:uid="{00000000-000D-0000-FFFF-FFFF00000000}"/>
  </bookViews>
  <sheets>
    <sheet name="APROBADO" sheetId="1" state="hidden" r:id="rId1"/>
    <sheet name="SALDOS 2019" sheetId="4" state="hidden" r:id="rId2"/>
    <sheet name="Hoja3" sheetId="13" state="hidden" r:id="rId3"/>
    <sheet name="Hoja4" sheetId="14" state="hidden" r:id="rId4"/>
    <sheet name="Hoja5" sheetId="15" state="hidden" r:id="rId5"/>
    <sheet name="Hoja6" sheetId="16" state="hidden" r:id="rId6"/>
    <sheet name="Hoja7" sheetId="17" state="hidden" r:id="rId7"/>
    <sheet name="Hoja8" sheetId="18" state="hidden" r:id="rId8"/>
    <sheet name="Hoja2" sheetId="12" state="hidden" r:id="rId9"/>
    <sheet name=" PROYECTOS APROBADOS 2019" sheetId="7" state="hidden" r:id="rId10"/>
    <sheet name="SALDOS 2020" sheetId="9" state="hidden" r:id="rId11"/>
    <sheet name=" PROYECTOS APROBADOS 2020" sheetId="10" state="hidden" r:id="rId12"/>
    <sheet name="Hoja11" sheetId="22" state="hidden" r:id="rId13"/>
    <sheet name="Hoja9" sheetId="20" state="hidden" r:id="rId14"/>
    <sheet name="SALDOS 2021" sheetId="23" state="hidden" r:id="rId15"/>
    <sheet name=" PROYECTOS APROBADOS 2021" sheetId="24" state="hidden" r:id="rId16"/>
    <sheet name="otro" sheetId="32" state="hidden" r:id="rId17"/>
    <sheet name="BALANCE RECURSOS 2022" sheetId="31" state="hidden" r:id="rId18"/>
    <sheet name="BALANCE RECURSOS 2022 (2)" sheetId="34" state="hidden" r:id="rId19"/>
    <sheet name="SALDOS 2022" sheetId="27" state="hidden" r:id="rId20"/>
    <sheet name=" PROYECTOS APROBADOS 2022" sheetId="28" r:id="rId21"/>
    <sheet name="BALANCE RECURSOS 2023" sheetId="33" state="hidden" r:id="rId22"/>
    <sheet name="Balance Cierres" sheetId="30" state="hidden" r:id="rId23"/>
    <sheet name="INICIATIVAS  VERIFICACIÓN 21-22" sheetId="2" state="hidden" r:id="rId24"/>
    <sheet name="Hoja1" sheetId="11" state="hidden" r:id="rId25"/>
    <sheet name="CONSOLIDADO SALDOS " sheetId="19" state="hidden" r:id="rId26"/>
    <sheet name="INICIATIVAS EN FORMULACIÓN " sheetId="3" state="hidden" r:id="rId27"/>
    <sheet name="ASIGNACIONES DIRECTAS INFLEXIBI" sheetId="5" state="hidden" r:id="rId28"/>
    <sheet name="Hoja12" sheetId="25" state="hidden" r:id="rId29"/>
    <sheet name="Hoja10" sheetId="21" state="hidden" r:id="rId30"/>
    <sheet name="DISPONIBLE " sheetId="8" state="hidden" r:id="rId31"/>
  </sheets>
  <definedNames>
    <definedName name="_xlnm._FilterDatabase" localSheetId="9" hidden="1">' PROYECTOS APROBADOS 2019'!$A$1:$AB$46</definedName>
    <definedName name="_xlnm._FilterDatabase" localSheetId="11" hidden="1">' PROYECTOS APROBADOS 2020'!$A$1:$AB$42</definedName>
    <definedName name="_xlnm._FilterDatabase" localSheetId="15" hidden="1">' PROYECTOS APROBADOS 2021'!$A$1:$AH$9</definedName>
    <definedName name="_xlnm._FilterDatabase" localSheetId="20" hidden="1">' PROYECTOS APROBADOS 2022'!$A$7:$AH$13</definedName>
    <definedName name="_xlnm._FilterDatabase" localSheetId="0" hidden="1">APROBADO!$A$1:$R$68</definedName>
    <definedName name="_xlnm._FilterDatabase" localSheetId="22" hidden="1">'Balance Cierres'!$A$3:$H$30</definedName>
    <definedName name="_xlnm._FilterDatabase" localSheetId="21" hidden="1">'BALANCE RECURSOS 2023'!$A$7:$D$27</definedName>
    <definedName name="_xlnm._FilterDatabase" localSheetId="23" hidden="1">'INICIATIVAS  VERIFICACIÓN 21-22'!$A$5:$AA$5</definedName>
    <definedName name="_xlnm._FilterDatabase" localSheetId="16" hidden="1">otro!$A$1:$AH$10</definedName>
    <definedName name="_xlnm.Print_Area" localSheetId="30">'DISPONIBLE '!$A$1:$E$16</definedName>
    <definedName name="_xlnm.Print_Area" localSheetId="23">'INICIATIVAS  VERIFICACIÓN 21-22'!$A$1:$V$18</definedName>
    <definedName name="_xlnm.Print_Area" localSheetId="1">'SALDOS 2019'!$A$1:$G$22</definedName>
    <definedName name="_xlnm.Print_Area" localSheetId="10">'SALDOS 2020'!$A$2:$G$17</definedName>
    <definedName name="_xlnm.Print_Area" localSheetId="14">'SALDOS 2021'!$A$2:$F$26</definedName>
    <definedName name="_xlnm.Print_Area" localSheetId="19">'SALDOS 2022'!$A$2:$F$21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1" i="28" l="1"/>
  <c r="H58" i="34" l="1"/>
  <c r="G58" i="34"/>
  <c r="F58" i="34"/>
  <c r="H50" i="34"/>
  <c r="G50" i="34"/>
  <c r="G59" i="34" s="1"/>
  <c r="F50" i="34"/>
  <c r="F59" i="34" s="1"/>
  <c r="C27" i="34"/>
  <c r="C34" i="34" s="1"/>
  <c r="C23" i="34"/>
  <c r="C16" i="34"/>
  <c r="C24" i="34" s="1"/>
  <c r="F2" i="34"/>
  <c r="F60" i="34" l="1"/>
  <c r="G60" i="34"/>
  <c r="H59" i="34"/>
  <c r="F19" i="34"/>
  <c r="H60" i="34"/>
  <c r="C7" i="33"/>
  <c r="E7" i="33" s="1"/>
  <c r="D7" i="33"/>
  <c r="E17" i="33"/>
  <c r="C26" i="33"/>
  <c r="D26" i="33"/>
  <c r="D27" i="33" l="1"/>
  <c r="C27" i="33"/>
  <c r="C35" i="34"/>
  <c r="C18" i="27"/>
  <c r="G2" i="31"/>
  <c r="D30" i="31"/>
  <c r="D26" i="31"/>
  <c r="D35" i="31"/>
  <c r="C36" i="31"/>
  <c r="G8" i="31" l="1"/>
  <c r="D36" i="31" l="1"/>
  <c r="D18" i="31"/>
  <c r="G22" i="31" s="1"/>
  <c r="C26" i="31"/>
  <c r="C18" i="31"/>
  <c r="C27" i="31" s="1"/>
  <c r="D27" i="31" l="1"/>
  <c r="D37" i="31" s="1"/>
  <c r="H14" i="32" l="1"/>
  <c r="R10" i="32"/>
  <c r="Q10" i="32"/>
  <c r="P10" i="32"/>
  <c r="O10" i="32"/>
  <c r="N10" i="32"/>
  <c r="E20" i="32" s="1"/>
  <c r="E21" i="32" s="1"/>
  <c r="M10" i="32"/>
  <c r="E17" i="32" s="1"/>
  <c r="L10" i="32"/>
  <c r="K10" i="32"/>
  <c r="E16" i="32" s="1"/>
  <c r="E18" i="32" s="1"/>
  <c r="J10" i="32"/>
  <c r="I10" i="32"/>
  <c r="H10" i="32"/>
  <c r="G10" i="32"/>
  <c r="S9" i="32"/>
  <c r="S8" i="32"/>
  <c r="S7" i="32"/>
  <c r="S5" i="32"/>
  <c r="S4" i="32"/>
  <c r="S3" i="32"/>
  <c r="S2" i="32"/>
  <c r="J12" i="32" l="1"/>
  <c r="S10" i="32"/>
  <c r="I60" i="31"/>
  <c r="H60" i="31"/>
  <c r="G60" i="31"/>
  <c r="I52" i="31"/>
  <c r="I61" i="31" s="1"/>
  <c r="H52" i="31"/>
  <c r="H61" i="31" s="1"/>
  <c r="G52" i="31"/>
  <c r="C37" i="31"/>
  <c r="H62" i="31" l="1"/>
  <c r="G61" i="31"/>
  <c r="G62" i="31"/>
  <c r="I62" i="31"/>
  <c r="T8" i="28" l="1"/>
  <c r="K20" i="30" l="1"/>
  <c r="D28" i="27" l="1"/>
  <c r="D27" i="27"/>
  <c r="H9" i="24" l="1"/>
  <c r="M9" i="24"/>
  <c r="K9" i="24"/>
  <c r="J9" i="24"/>
  <c r="N13" i="28" l="1"/>
  <c r="C14" i="27" s="1"/>
  <c r="D14" i="27" s="1"/>
  <c r="F14" i="27" s="1"/>
  <c r="D10" i="27"/>
  <c r="F10" i="27" s="1"/>
  <c r="S13" i="28"/>
  <c r="R13" i="28"/>
  <c r="Q13" i="28"/>
  <c r="P13" i="28"/>
  <c r="O13" i="28"/>
  <c r="M13" i="28"/>
  <c r="L13" i="28"/>
  <c r="C9" i="27" s="1"/>
  <c r="K13" i="28"/>
  <c r="J13" i="28"/>
  <c r="I13" i="28"/>
  <c r="C13" i="27" s="1"/>
  <c r="H13" i="28"/>
  <c r="C5" i="27" s="1"/>
  <c r="D5" i="27" s="1"/>
  <c r="G13" i="28"/>
  <c r="C4" i="27" s="1"/>
  <c r="T12" i="28"/>
  <c r="T10" i="28"/>
  <c r="T9" i="28"/>
  <c r="D8" i="27"/>
  <c r="N9" i="24"/>
  <c r="C11" i="27" s="1"/>
  <c r="D11" i="27" s="1"/>
  <c r="O9" i="24"/>
  <c r="C12" i="27" s="1"/>
  <c r="D12" i="27" s="1"/>
  <c r="P9" i="24"/>
  <c r="Q9" i="24"/>
  <c r="R9" i="24"/>
  <c r="L9" i="24"/>
  <c r="C8" i="23"/>
  <c r="I9" i="24"/>
  <c r="G9" i="24"/>
  <c r="S8" i="24"/>
  <c r="AB8" i="24" s="1"/>
  <c r="S7" i="24"/>
  <c r="C6" i="27" l="1"/>
  <c r="D6" i="27" s="1"/>
  <c r="F6" i="27" s="1"/>
  <c r="C7" i="27"/>
  <c r="D7" i="27" s="1"/>
  <c r="F7" i="27" s="1"/>
  <c r="T13" i="28"/>
  <c r="F11" i="27"/>
  <c r="B19" i="27" s="1"/>
  <c r="F12" i="27"/>
  <c r="D13" i="27"/>
  <c r="B23" i="27"/>
  <c r="F8" i="27"/>
  <c r="D4" i="27"/>
  <c r="B18" i="27"/>
  <c r="S6" i="24"/>
  <c r="C15" i="27" l="1"/>
  <c r="V17" i="2"/>
  <c r="I18" i="2" l="1"/>
  <c r="E5" i="27" s="1"/>
  <c r="F5" i="27" s="1"/>
  <c r="H18" i="2"/>
  <c r="E4" i="27" s="1"/>
  <c r="E21" i="2"/>
  <c r="E23" i="2" s="1"/>
  <c r="F4" i="27" l="1"/>
  <c r="S5" i="24" l="1"/>
  <c r="S4" i="24"/>
  <c r="S3" i="24"/>
  <c r="S2" i="24"/>
  <c r="S9" i="24" s="1"/>
  <c r="C13" i="23" l="1"/>
  <c r="V6" i="2"/>
  <c r="V8" i="2"/>
  <c r="V9" i="2"/>
  <c r="V10" i="2"/>
  <c r="V11" i="2"/>
  <c r="V12" i="2"/>
  <c r="V13" i="2"/>
  <c r="V14" i="2"/>
  <c r="V15" i="2"/>
  <c r="V16" i="2"/>
  <c r="E4" i="23"/>
  <c r="K18" i="2"/>
  <c r="K21" i="2" s="1"/>
  <c r="J18" i="2"/>
  <c r="D8" i="23"/>
  <c r="B11" i="23"/>
  <c r="M18" i="2"/>
  <c r="M21" i="2" s="1"/>
  <c r="N18" i="2"/>
  <c r="N21" i="2" s="1"/>
  <c r="O18" i="2"/>
  <c r="P18" i="2"/>
  <c r="P21" i="2" s="1"/>
  <c r="Q18" i="2"/>
  <c r="Q21" i="2" s="1"/>
  <c r="R18" i="2"/>
  <c r="R21" i="2" s="1"/>
  <c r="S18" i="2"/>
  <c r="S21" i="2" s="1"/>
  <c r="T18" i="2"/>
  <c r="T21" i="2" s="1"/>
  <c r="U18" i="2"/>
  <c r="U21" i="2" s="1"/>
  <c r="E5" i="25"/>
  <c r="E4" i="25"/>
  <c r="E11" i="25" s="1"/>
  <c r="G11" i="25"/>
  <c r="F11" i="25"/>
  <c r="D11" i="25"/>
  <c r="C11" i="25"/>
  <c r="J26" i="23"/>
  <c r="J21" i="2" l="1"/>
  <c r="E13" i="23" s="1"/>
  <c r="E13" i="27"/>
  <c r="F13" i="27" s="1"/>
  <c r="O21" i="2"/>
  <c r="E9" i="27"/>
  <c r="E15" i="27" s="1"/>
  <c r="E5" i="23"/>
  <c r="E8" i="23"/>
  <c r="F8" i="23" s="1"/>
  <c r="V18" i="2"/>
  <c r="V21" i="2" s="1"/>
  <c r="C15" i="4" l="1"/>
  <c r="B17" i="4"/>
  <c r="F20" i="4"/>
  <c r="G55" i="10"/>
  <c r="I21" i="2"/>
  <c r="I20" i="2"/>
  <c r="F5" i="9"/>
  <c r="F6" i="9"/>
  <c r="E7" i="23"/>
  <c r="E9" i="23"/>
  <c r="E10" i="23"/>
  <c r="E11" i="23"/>
  <c r="C12" i="23"/>
  <c r="C4" i="23"/>
  <c r="C5" i="23"/>
  <c r="D13" i="23"/>
  <c r="B12" i="23"/>
  <c r="D10" i="23"/>
  <c r="E4" i="9"/>
  <c r="E9" i="9"/>
  <c r="E8" i="9"/>
  <c r="E10" i="9"/>
  <c r="C6" i="9"/>
  <c r="D6" i="9" s="1"/>
  <c r="G6" i="9" s="1"/>
  <c r="B7" i="23" s="1"/>
  <c r="D25" i="9"/>
  <c r="E25" i="9" s="1"/>
  <c r="E27" i="9"/>
  <c r="C11" i="23"/>
  <c r="C6" i="23"/>
  <c r="D6" i="23" s="1"/>
  <c r="C7" i="23"/>
  <c r="C9" i="23"/>
  <c r="I42" i="10"/>
  <c r="D49" i="10" s="1"/>
  <c r="N31" i="10"/>
  <c r="N32" i="10"/>
  <c r="N33" i="10"/>
  <c r="N34" i="10"/>
  <c r="N35" i="10"/>
  <c r="N36" i="10"/>
  <c r="N37" i="10"/>
  <c r="N38" i="10"/>
  <c r="N39" i="10"/>
  <c r="N40" i="10"/>
  <c r="N41" i="10"/>
  <c r="O41" i="10" s="1"/>
  <c r="G42" i="10"/>
  <c r="D48" i="10" s="1"/>
  <c r="J42" i="10"/>
  <c r="I48" i="10" s="1"/>
  <c r="J46" i="7"/>
  <c r="N30" i="10"/>
  <c r="M42" i="10"/>
  <c r="F42" i="10"/>
  <c r="G26" i="21"/>
  <c r="D36" i="21"/>
  <c r="E40" i="21" s="1"/>
  <c r="E36" i="21"/>
  <c r="E41" i="21" s="1"/>
  <c r="G30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7" i="21"/>
  <c r="G28" i="21"/>
  <c r="G29" i="21"/>
  <c r="G31" i="21"/>
  <c r="G13" i="21"/>
  <c r="E9" i="21"/>
  <c r="D9" i="21"/>
  <c r="F5" i="21"/>
  <c r="F6" i="21"/>
  <c r="F7" i="21"/>
  <c r="F8" i="21"/>
  <c r="F4" i="21"/>
  <c r="N23" i="10"/>
  <c r="N24" i="10"/>
  <c r="N25" i="10"/>
  <c r="N26" i="10"/>
  <c r="N27" i="10"/>
  <c r="N28" i="10"/>
  <c r="N29" i="10"/>
  <c r="H42" i="10"/>
  <c r="C7" i="9" s="1"/>
  <c r="D7" i="9" s="1"/>
  <c r="G7" i="9" s="1"/>
  <c r="B9" i="27" s="1"/>
  <c r="D52" i="10"/>
  <c r="D53" i="10" s="1"/>
  <c r="K42" i="10"/>
  <c r="L42" i="10"/>
  <c r="C10" i="9" s="1"/>
  <c r="D10" i="9" s="1"/>
  <c r="N22" i="10"/>
  <c r="N21" i="10"/>
  <c r="N20" i="10"/>
  <c r="N19" i="10"/>
  <c r="N18" i="10"/>
  <c r="N17" i="10"/>
  <c r="G19" i="8"/>
  <c r="B11" i="8"/>
  <c r="C4" i="8"/>
  <c r="H5" i="8" s="1"/>
  <c r="J16" i="5"/>
  <c r="P26" i="3"/>
  <c r="O26" i="3"/>
  <c r="N26" i="3"/>
  <c r="M26" i="3"/>
  <c r="L26" i="3"/>
  <c r="K26" i="3"/>
  <c r="J26" i="3"/>
  <c r="I26" i="3"/>
  <c r="Q25" i="3"/>
  <c r="Q24" i="3"/>
  <c r="Q23" i="3"/>
  <c r="Q22" i="3"/>
  <c r="Q21" i="3"/>
  <c r="Q20" i="3"/>
  <c r="Q19" i="3"/>
  <c r="Q18" i="3"/>
  <c r="Q17" i="3"/>
  <c r="M9" i="3"/>
  <c r="F9" i="9" s="1"/>
  <c r="L9" i="3"/>
  <c r="F8" i="8" s="1"/>
  <c r="P6" i="3"/>
  <c r="P9" i="3"/>
  <c r="O6" i="3"/>
  <c r="O9" i="3" s="1"/>
  <c r="N6" i="3"/>
  <c r="N9" i="3"/>
  <c r="F10" i="9" s="1"/>
  <c r="M6" i="3"/>
  <c r="L6" i="3"/>
  <c r="K6" i="3"/>
  <c r="K9" i="3" s="1"/>
  <c r="J6" i="3"/>
  <c r="J9" i="3"/>
  <c r="F6" i="8" s="1"/>
  <c r="I6" i="3"/>
  <c r="I9" i="3" s="1"/>
  <c r="F5" i="8" s="1"/>
  <c r="Q5" i="3"/>
  <c r="Q4" i="3"/>
  <c r="Q6" i="3" s="1"/>
  <c r="Q9" i="3" s="1"/>
  <c r="E7" i="4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O4" i="10" s="1"/>
  <c r="N3" i="10"/>
  <c r="N2" i="10"/>
  <c r="D8" i="9"/>
  <c r="M46" i="7"/>
  <c r="L46" i="7"/>
  <c r="C10" i="8" s="1"/>
  <c r="D10" i="8" s="1"/>
  <c r="E10" i="8" s="1"/>
  <c r="C10" i="4"/>
  <c r="D10" i="4" s="1"/>
  <c r="K46" i="7"/>
  <c r="C8" i="4" s="1"/>
  <c r="D8" i="4" s="1"/>
  <c r="C9" i="4"/>
  <c r="I46" i="7"/>
  <c r="C6" i="8" s="1"/>
  <c r="D6" i="8" s="1"/>
  <c r="H46" i="7"/>
  <c r="C7" i="4" s="1"/>
  <c r="D7" i="4" s="1"/>
  <c r="G46" i="7"/>
  <c r="C5" i="8" s="1"/>
  <c r="N45" i="7"/>
  <c r="N44" i="7"/>
  <c r="N43" i="7"/>
  <c r="N42" i="7"/>
  <c r="N41" i="7"/>
  <c r="N40" i="7"/>
  <c r="N39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2" i="7"/>
  <c r="B25" i="4"/>
  <c r="D22" i="4"/>
  <c r="B11" i="4"/>
  <c r="C6" i="4"/>
  <c r="C5" i="4"/>
  <c r="D5" i="4" s="1"/>
  <c r="B14" i="4" s="1"/>
  <c r="C4" i="4"/>
  <c r="D4" i="4" s="1"/>
  <c r="F88" i="1"/>
  <c r="O68" i="1"/>
  <c r="O75" i="1" s="1"/>
  <c r="N68" i="1"/>
  <c r="N75" i="1"/>
  <c r="M68" i="1"/>
  <c r="M75" i="1" s="1"/>
  <c r="L68" i="1"/>
  <c r="L75" i="1" s="1"/>
  <c r="K68" i="1"/>
  <c r="K75" i="1" s="1"/>
  <c r="J68" i="1"/>
  <c r="J75" i="1" s="1"/>
  <c r="I68" i="1"/>
  <c r="I75" i="1" s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P49" i="1"/>
  <c r="Q48" i="1"/>
  <c r="Q47" i="1"/>
  <c r="Q46" i="1"/>
  <c r="Q45" i="1"/>
  <c r="Q44" i="1"/>
  <c r="P43" i="1"/>
  <c r="Q43" i="1" s="1"/>
  <c r="P41" i="1"/>
  <c r="P74" i="1" s="1"/>
  <c r="O41" i="1"/>
  <c r="O74" i="1" s="1"/>
  <c r="N41" i="1"/>
  <c r="N74" i="1" s="1"/>
  <c r="M41" i="1"/>
  <c r="M74" i="1" s="1"/>
  <c r="L41" i="1"/>
  <c r="L74" i="1" s="1"/>
  <c r="K41" i="1"/>
  <c r="K74" i="1" s="1"/>
  <c r="J41" i="1"/>
  <c r="J74" i="1"/>
  <c r="I41" i="1"/>
  <c r="I74" i="1" s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P25" i="1"/>
  <c r="P73" i="1" s="1"/>
  <c r="O25" i="1"/>
  <c r="O73" i="1"/>
  <c r="N25" i="1"/>
  <c r="N73" i="1" s="1"/>
  <c r="M25" i="1"/>
  <c r="M73" i="1" s="1"/>
  <c r="L25" i="1"/>
  <c r="L73" i="1" s="1"/>
  <c r="K25" i="1"/>
  <c r="J25" i="1"/>
  <c r="J73" i="1" s="1"/>
  <c r="Q24" i="1"/>
  <c r="Q23" i="1"/>
  <c r="Q22" i="1"/>
  <c r="Q21" i="1"/>
  <c r="Q20" i="1"/>
  <c r="Q19" i="1"/>
  <c r="Q18" i="1"/>
  <c r="I17" i="1"/>
  <c r="I25" i="1"/>
  <c r="I73" i="1" s="1"/>
  <c r="Q16" i="1"/>
  <c r="Q15" i="1"/>
  <c r="Q14" i="1"/>
  <c r="Q13" i="1"/>
  <c r="Q12" i="1"/>
  <c r="Q11" i="1"/>
  <c r="Q10" i="1"/>
  <c r="Q9" i="1"/>
  <c r="Q8" i="1"/>
  <c r="Q7" i="1"/>
  <c r="P6" i="1"/>
  <c r="P72" i="1"/>
  <c r="O6" i="1"/>
  <c r="O72" i="1" s="1"/>
  <c r="N6" i="1"/>
  <c r="N72" i="1" s="1"/>
  <c r="M6" i="1"/>
  <c r="M72" i="1"/>
  <c r="L6" i="1"/>
  <c r="L72" i="1" s="1"/>
  <c r="K6" i="1"/>
  <c r="K72" i="1" s="1"/>
  <c r="J6" i="1"/>
  <c r="J72" i="1"/>
  <c r="I6" i="1"/>
  <c r="I72" i="1"/>
  <c r="Q5" i="1"/>
  <c r="I4" i="1"/>
  <c r="Q4" i="1" s="1"/>
  <c r="Q3" i="1"/>
  <c r="Q2" i="1"/>
  <c r="F10" i="8"/>
  <c r="F6" i="4"/>
  <c r="F9" i="8"/>
  <c r="F9" i="4"/>
  <c r="C8" i="8"/>
  <c r="D8" i="8" s="1"/>
  <c r="E8" i="8" s="1"/>
  <c r="Q17" i="1"/>
  <c r="D4" i="8"/>
  <c r="E4" i="8" s="1"/>
  <c r="C24" i="8" s="1"/>
  <c r="H6" i="8"/>
  <c r="E8" i="4"/>
  <c r="D9" i="4"/>
  <c r="C21" i="4" s="1"/>
  <c r="E21" i="4" s="1"/>
  <c r="B9" i="9" s="1"/>
  <c r="C9" i="8"/>
  <c r="D9" i="8" s="1"/>
  <c r="E9" i="4"/>
  <c r="G9" i="4" s="1"/>
  <c r="E10" i="4"/>
  <c r="C26" i="8" l="1"/>
  <c r="E6" i="8"/>
  <c r="F7" i="9"/>
  <c r="F7" i="8"/>
  <c r="F11" i="8" s="1"/>
  <c r="F7" i="4"/>
  <c r="E42" i="21"/>
  <c r="M76" i="1"/>
  <c r="C4" i="9"/>
  <c r="F45" i="10"/>
  <c r="F48" i="10" s="1"/>
  <c r="Q26" i="3"/>
  <c r="F36" i="21"/>
  <c r="C11" i="4"/>
  <c r="C7" i="8"/>
  <c r="D7" i="8" s="1"/>
  <c r="E7" i="8" s="1"/>
  <c r="N42" i="10"/>
  <c r="D50" i="10"/>
  <c r="Q41" i="1"/>
  <c r="Q74" i="1" s="1"/>
  <c r="F9" i="21"/>
  <c r="Q25" i="1"/>
  <c r="Q73" i="1" s="1"/>
  <c r="O76" i="1"/>
  <c r="Q6" i="1"/>
  <c r="Q72" i="1" s="1"/>
  <c r="N46" i="7"/>
  <c r="Q68" i="1"/>
  <c r="Q75" i="1" s="1"/>
  <c r="F13" i="23"/>
  <c r="B9" i="23"/>
  <c r="I76" i="1"/>
  <c r="N76" i="1"/>
  <c r="E9" i="8"/>
  <c r="C27" i="8"/>
  <c r="C33" i="8"/>
  <c r="C35" i="8" s="1"/>
  <c r="D31" i="9"/>
  <c r="D33" i="9" s="1"/>
  <c r="E33" i="9" s="1"/>
  <c r="J76" i="1"/>
  <c r="H5" i="23"/>
  <c r="L76" i="1"/>
  <c r="G4" i="4"/>
  <c r="B4" i="9" s="1"/>
  <c r="F10" i="4"/>
  <c r="G10" i="4" s="1"/>
  <c r="K73" i="1"/>
  <c r="K76" i="1" s="1"/>
  <c r="F8" i="9"/>
  <c r="F8" i="4"/>
  <c r="G8" i="4" s="1"/>
  <c r="D5" i="8"/>
  <c r="D9" i="23"/>
  <c r="H6" i="9"/>
  <c r="C5" i="9"/>
  <c r="D5" i="9" s="1"/>
  <c r="G5" i="9" s="1"/>
  <c r="G4" i="8"/>
  <c r="G5" i="4"/>
  <c r="P68" i="1"/>
  <c r="P75" i="1" s="1"/>
  <c r="P76" i="1" s="1"/>
  <c r="D6" i="4"/>
  <c r="D11" i="4" s="1"/>
  <c r="D4" i="23"/>
  <c r="F4" i="23" s="1"/>
  <c r="D14" i="4"/>
  <c r="C14" i="4"/>
  <c r="C9" i="9"/>
  <c r="D32" i="9" s="1"/>
  <c r="C19" i="4"/>
  <c r="G7" i="4"/>
  <c r="D5" i="23"/>
  <c r="J5" i="23"/>
  <c r="J6" i="23"/>
  <c r="B14" i="23"/>
  <c r="H10" i="9"/>
  <c r="H7" i="9"/>
  <c r="G10" i="9"/>
  <c r="G8" i="9"/>
  <c r="E11" i="9"/>
  <c r="C9" i="19" s="1"/>
  <c r="E11" i="4"/>
  <c r="H8" i="9"/>
  <c r="F11" i="9"/>
  <c r="C21" i="19" s="1"/>
  <c r="E6" i="23"/>
  <c r="F6" i="23" s="1"/>
  <c r="D12" i="23"/>
  <c r="F12" i="23" s="1"/>
  <c r="D11" i="23"/>
  <c r="F11" i="23" s="1"/>
  <c r="B24" i="23" s="1"/>
  <c r="F10" i="23"/>
  <c r="D7" i="23"/>
  <c r="F7" i="23" s="1"/>
  <c r="C14" i="23"/>
  <c r="Q76" i="1" l="1"/>
  <c r="H5" i="9"/>
  <c r="C11" i="8"/>
  <c r="E5" i="8"/>
  <c r="C25" i="8"/>
  <c r="C28" i="8" s="1"/>
  <c r="D11" i="8"/>
  <c r="F11" i="4"/>
  <c r="G6" i="4"/>
  <c r="G14" i="4" s="1"/>
  <c r="C20" i="4"/>
  <c r="E20" i="4" s="1"/>
  <c r="G20" i="4" s="1"/>
  <c r="C22" i="4"/>
  <c r="E19" i="4"/>
  <c r="E22" i="4" s="1"/>
  <c r="E32" i="9"/>
  <c r="E35" i="9" s="1"/>
  <c r="D9" i="9"/>
  <c r="C24" i="4"/>
  <c r="D9" i="27"/>
  <c r="B15" i="27"/>
  <c r="B11" i="9"/>
  <c r="C3" i="19" s="1"/>
  <c r="C5" i="19" s="1"/>
  <c r="C7" i="19" s="1"/>
  <c r="C12" i="19" s="1"/>
  <c r="C14" i="19" s="1"/>
  <c r="C17" i="19" s="1"/>
  <c r="C19" i="19" s="1"/>
  <c r="C23" i="19" s="1"/>
  <c r="D4" i="9"/>
  <c r="C11" i="9"/>
  <c r="C4" i="19" s="1"/>
  <c r="K5" i="23"/>
  <c r="F5" i="23"/>
  <c r="B23" i="23"/>
  <c r="B28" i="23"/>
  <c r="F9" i="23"/>
  <c r="E14" i="23"/>
  <c r="F9" i="27" l="1"/>
  <c r="F15" i="27" s="1"/>
  <c r="B21" i="27"/>
  <c r="D15" i="27"/>
  <c r="H4" i="27"/>
  <c r="J4" i="27" s="1"/>
  <c r="H9" i="9"/>
  <c r="G9" i="9"/>
  <c r="B15" i="9" s="1"/>
  <c r="D11" i="9"/>
  <c r="B14" i="9" s="1"/>
  <c r="G4" i="9"/>
  <c r="G11" i="9" s="1"/>
  <c r="B17" i="9" s="1"/>
  <c r="H4" i="9"/>
  <c r="H11" i="9" s="1"/>
  <c r="G11" i="4"/>
  <c r="B19" i="8"/>
  <c r="E11" i="8"/>
  <c r="F14" i="23"/>
  <c r="D14" i="23"/>
  <c r="B26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Diego Armando Torres Barrantes</author>
  </authors>
  <commentList>
    <comment ref="J4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Diego Armando Torres Barrantes:</t>
        </r>
        <r>
          <rPr>
            <sz val="9"/>
            <color indexed="81"/>
            <rFont val="Tahoma"/>
            <family val="2"/>
          </rPr>
          <t xml:space="preserve">
2.161.750.000</t>
        </r>
      </text>
    </comment>
  </commentList>
</comments>
</file>

<file path=xl/sharedStrings.xml><?xml version="1.0" encoding="utf-8"?>
<sst xmlns="http://schemas.openxmlformats.org/spreadsheetml/2006/main" count="1653" uniqueCount="788">
  <si>
    <t>EPC</t>
  </si>
  <si>
    <t>VIVIENDA, CIUDAD Y TERRITORIO</t>
  </si>
  <si>
    <t>CONSTRUCCIÓN DE UNIDADES SANITARIAS EN EL ÁREA RURAL DEL DEPARTAMENTO DE CUNDINAMARCA</t>
  </si>
  <si>
    <t>20181301010555</t>
  </si>
  <si>
    <t xml:space="preserve">10 DE 05/11/2018 OCAD PAZ
</t>
  </si>
  <si>
    <t>2019 - 2020</t>
  </si>
  <si>
    <t xml:space="preserve">SECRETARÍA DE PLANEACIÓN </t>
  </si>
  <si>
    <t>ELABORACIÓN DE LA ENCUESTA MULTIPROPoSITO 2017 : BOGOTa - CUNDINAMARCA</t>
  </si>
  <si>
    <t>2016000050033</t>
  </si>
  <si>
    <t>61 DE 31/03/2017</t>
  </si>
  <si>
    <t>2019-2020</t>
  </si>
  <si>
    <t>ICCU</t>
  </si>
  <si>
    <t>TRANSPORTE</t>
  </si>
  <si>
    <t>MEJORAMIENTO DE LA VÍA SUSA - CARMEN DE CARUPA, DEPARTAMENTO DE CUNDINAMARCA</t>
  </si>
  <si>
    <t>2019000050047</t>
  </si>
  <si>
    <t>MEJORAMIENTO DE LA VÍA GACHETÁ - GAMA, DEPARTAMENTO DE CUNDINAMARCA</t>
  </si>
  <si>
    <t>89 DE 13/06/2019</t>
  </si>
  <si>
    <t>MEJORAMIENTO DE LA VÍA LENGUAZAQUE - VILLAPINZÓN, DEPARTAMENTO DE CUNDINAMARCA</t>
  </si>
  <si>
    <t>MEJORAMIENTO DE LA VÍA ANOLAIMA CORRALEJAS (INSPECCIÓN DE CORRALEJAS), DEPARTAMENTO DE CUNDINAMARCA</t>
  </si>
  <si>
    <t>MEJORAMIENTO DE LA VÍA FÓMEQUE UBAQUE, DEPARTAMENTO DE CUNDINAMARCA</t>
  </si>
  <si>
    <t>MEJORAMIENTO DE LA VÍA SUPATÁ - PACHO, DEPARTAMENTO DE CUNDINAMARCA</t>
  </si>
  <si>
    <t>88 DE 30/04/2019</t>
  </si>
  <si>
    <t>MEJORAMIENTO DE LA VÍA CÁQUEZA FOSCA, DEPARTAMENTO DE CUNDINAMARCA</t>
  </si>
  <si>
    <t>MEJORAMIENTO DE LA VÍA DEPARTAMENTAL LA VICTORIA (EL COLEGIO) SAN GABRIEL (VIOTÁ), TRAMO LA VICTORIA ALTO DE LA MULA, DEPARTAMENTO DE CUNDINAMARCA</t>
  </si>
  <si>
    <t>86 DE 08/03/2019</t>
  </si>
  <si>
    <t>MEJORAMIENTO DE LA VÍA GUSBITA - TIBIRITA DEL DEPARTAMENTO DE CUNDINAMARCA</t>
  </si>
  <si>
    <t>MEJORAMIENTO DE LA TRONCAL DE RIONEGRO, SECTOR LA PALMA CHARCO LARGO PARA LA CONSOLIDACIÓN DE UNA PAZ ESTABLE Y DURADERA EN EL DEPARTAMENTO DE CUNDINAMARCA</t>
  </si>
  <si>
    <t xml:space="preserve"> MEJORAMIENTO DE VÍAS EN LA PROVINCIA DE SUMAPAZ PARA LA CONSOLIDACIÓN DE UNA PAZ ESTABLE Y DURADERA EN EL DEPARTAMENTO DE CUNDINAMARCA</t>
  </si>
  <si>
    <t>2018000050026</t>
  </si>
  <si>
    <t xml:space="preserve">11 DE 28/12/2018 OCAD PAZ    </t>
  </si>
  <si>
    <t xml:space="preserve"> MEJORAMIENTO DE LA VÍA SESQUILÉ – GUATAVITA - GACHETÁ, DEPARTAMENTO DE CUNDINAMARCA</t>
  </si>
  <si>
    <t>2018000050049</t>
  </si>
  <si>
    <t>84 DE 21/12/2018</t>
  </si>
  <si>
    <t xml:space="preserve"> MEJORAMIENTO Y REHABILITACIÓN DE LA VÍA LA MARÍA – TOBIA - PASO EL REJO - LA PEÑA, DEPARTAMENTO DE CUNDINAMARCA</t>
  </si>
  <si>
    <t>2018000050024</t>
  </si>
  <si>
    <t>82 DE 13/11/2018</t>
  </si>
  <si>
    <t>2018-2019</t>
  </si>
  <si>
    <t xml:space="preserve"> MEJORAMIENTO Y REHABILITACIÓN DE VÍAS SECUNDARIAS EN LA PROVINCIA DE UBATÉ, DEPARTAMENTO DE CUNDINAMARCA</t>
  </si>
  <si>
    <t>2018000050022</t>
  </si>
  <si>
    <t>78 DE 08/08/2018</t>
  </si>
  <si>
    <t>2017-2018</t>
  </si>
  <si>
    <t>2016000050023</t>
  </si>
  <si>
    <t xml:space="preserve"> MEJORAMIENTO DE VÍAS TERCIARIAS MEDIANTE EL USO DE PLACA HUELLA EN LOS MUNICIPIOS DE GUATAVITA, PACHO, SAN JUAN DE RIOSECO, SUBACHOQUE, TENA Y ZIPAQUIRÁ, DEPARTAMENTO DE CUNDINAMARCA</t>
  </si>
  <si>
    <t>2017000050039</t>
  </si>
  <si>
    <t>67 DE 13/10/2017</t>
  </si>
  <si>
    <t>REHABILITACIÓN DE LA VIA CLUB EL BOSQUE - TIBACUY - CUMACA DEL DEPARTAMENTO DE CUNDINAMARCA</t>
  </si>
  <si>
    <t>2016000050032</t>
  </si>
  <si>
    <t xml:space="preserve"> REHABILITACIÓN DE LA ViA LA QUINTA - REPRESA DEL NEUSA, MUNICIPIO DE COGUA, DEPARTAMENTO DE CUNDINAMARCA</t>
  </si>
  <si>
    <t>2016000050029</t>
  </si>
  <si>
    <t>REHABILITACIÓN DE LA ViA BOQUERON - PANDI DEL DEPARTAMENTO DE CUNDINAMARCA</t>
  </si>
  <si>
    <t>2016000050025</t>
  </si>
  <si>
    <t>SECRETARÍA DE SALUD</t>
  </si>
  <si>
    <t>SALUD Y PROTECCIÓN SOCIAL</t>
  </si>
  <si>
    <t>ADQUISICIÓN DE AMBULANCIAS PARA EL FORTALECIMIENTO DE LA RED HOSPITALARIA DEL DEPARTAMENTO CUNDINAMARCA</t>
  </si>
  <si>
    <t>90 DE 10/07/2019</t>
  </si>
  <si>
    <t>ADQUISICIÓN AMBULANCIAS DE TRANSPORTE ASISTENCIAL BÁSICO (TAB) Y TRANSPORTE ASISTENCIAL MEDICALIZADA (TAM), PARA EL APOYO DEL SISTEMA DE REFERENCIA Y CONTRA REFERENCIA DE LA RED HOSPITALARIA DEL DEPARTAMENTO DE CUNDINAMARCA</t>
  </si>
  <si>
    <t>2017000050061</t>
  </si>
  <si>
    <t>69 DE 12/12/2017</t>
  </si>
  <si>
    <t>SECRETARÍA DE MINAS</t>
  </si>
  <si>
    <t>MINAS Y ENERGÍA</t>
  </si>
  <si>
    <t>IMPLEMENTACIÓN Y EXPANSIÓN DEL SERVICIO DE GAS COMBUSTIBLE POR REDES PARA VEREDAS Y CENTROS POBLADOS DEL DEPARTAMENTO DE CUNDINAMARCA</t>
  </si>
  <si>
    <t>77 DE 19/07/2018</t>
  </si>
  <si>
    <t>CONSTRUCCIÓN DE REDES ELÉCTRICAS EN ZONA RURAL DE 13 MUNICIPIOS, EN EL MARCO DEL PROYECTO ILUMINANDO VIDAS DEL DEPARTAMENTO DE CUNDINAMARCA</t>
  </si>
  <si>
    <t>76 DE 22/06/2018</t>
  </si>
  <si>
    <t>SECRETARÍA DESARROLLO SOCIAL</t>
  </si>
  <si>
    <t>INCLUSIÓN SOCIAL Y RECONCILIACIÓN</t>
  </si>
  <si>
    <t xml:space="preserve"> FORTALECIMIENTO DEL PROGRAMA DE COMPLEMENTACIÓN ALIMENTARIA Y NUTRICIONAL PARA NIÑAS, NIÑOS MENORES DE 5 AÑOS Y MADRES GESTANTES Y LACTANTES EN RIESGO DE DESNUTRICIÓN DEL DEPARTAMENTO DE CUNDINAMARCA</t>
  </si>
  <si>
    <t>2017000050017</t>
  </si>
  <si>
    <t>62 DE 29/06/2017</t>
  </si>
  <si>
    <t>INSTITUTO NACIONAL DE MEDICIONA LEGAL</t>
  </si>
  <si>
    <t>FISCALÍA</t>
  </si>
  <si>
    <t>ESTUDIOS Y DISEÑOS PARA LA CONSTRUCCIÓN DE LA SEDE DE MEDICINA LEGAL EN EL DEPARTAMENTO DE CUNDINAMARCA</t>
  </si>
  <si>
    <t>SECRETARÍA DE EDUCACIÓN</t>
  </si>
  <si>
    <t>EDUCACIÓN</t>
  </si>
  <si>
    <t>FORTALECIMIENTO A LA ESTRATEGIA DE ALIMENTACIÓN ESCOLAR PARA MUNICIPIOS NO CERTIFICADOS, VIGENCIA 2019 DEL DEPARTAMENTO DE CUNDINAMARCA</t>
  </si>
  <si>
    <t>FORTALECIMIENTO DE LA PERMANENCIA DE LOS ESTUDIANTES PARA EL AÑO 2019 EN LOS MUNICIPIOS DEL DEPARTAMENTO DE CUNDINAMARCA</t>
  </si>
  <si>
    <t xml:space="preserve"> FORTALECIMIENTO DE LA PERMANENCIA DE LOS ESTUDIANTES EN LOS MUNICIPIOS DEL DEPARTAMENTO DE CUNDINAMARCA, CENTRO ORIENTE 2018 CUNDINAMARCA</t>
  </si>
  <si>
    <t>2018000050019</t>
  </si>
  <si>
    <t>80 DE 24/08/2018</t>
  </si>
  <si>
    <t xml:space="preserve">SECRETARÍA DE EDUCACIÓN </t>
  </si>
  <si>
    <t>FORTALECIMIENTO A LA ESTRATEGIA DE ALIMENTACIÓN ESCOLAR PARA MUNICIPIOS NO CERTIFICADOS DEL DEPARTAMENTO DE CUNDINAMARCA</t>
  </si>
  <si>
    <t>2017000050033</t>
  </si>
  <si>
    <t>65 DE 30/08/2017</t>
  </si>
  <si>
    <t>FORTALECIMIENTO DE LA PERMANENCIA DE LOS ESTUDIANTES EN LOS MUNICIPIOS DEL DEPARTAMENTO DE CUNDINAMARCA, CENTRO ORIENTE 2017 CUNDINAMARCA</t>
  </si>
  <si>
    <t>2017000050027</t>
  </si>
  <si>
    <t>64 DE 14/08/2017</t>
  </si>
  <si>
    <t>2015-2016</t>
  </si>
  <si>
    <t>FORTALECIMIENTO A LA ESTRATEGIA DE ALIMENTACION ESCOLAR PARA MUNICIPIOS NO CERTIFICADOS DEL DEPARTAMENTO DE CUNDINAMARCA, SGR 2016.</t>
  </si>
  <si>
    <t>2016000050014</t>
  </si>
  <si>
    <t>55 DE 12/09/2016</t>
  </si>
  <si>
    <t>FORTALECIMIENTO DE LA PERMANENCIA DE LOS ESTUDIANTES EN LOS MUNICIPIOS DEL DEPARTAMENTO DE CUNDINAMARCA, CENTRO ORIENTE - 2016</t>
  </si>
  <si>
    <t>2016000050005</t>
  </si>
  <si>
    <t>54 DE 23/08/2016</t>
  </si>
  <si>
    <t>2015-2016                     2017-2018</t>
  </si>
  <si>
    <t>DEPORTE Y RECREACIÓN</t>
  </si>
  <si>
    <t>CONSTRUCCIÓN Y DOTACIÓN DE INFRAESTRUCTURA DEPORTIVA EN LA PROVINCIA DEL TEQUENDAMA, DEPARTAMENTO DE CUNDINAMARCA. (PROYECTO TIPO)</t>
  </si>
  <si>
    <t>2016000050016</t>
  </si>
  <si>
    <t>57 DE 28/11/2016</t>
  </si>
  <si>
    <t>MUNICIPIO DE UTICA</t>
  </si>
  <si>
    <t>COMERCIO, INDUSTRIA Y TURISMO</t>
  </si>
  <si>
    <t>MEJORAMIENTO DEL SENDERO TURÍSTICO DE LA PROVINCIA DEL GUALIVÁ – ÚTICA CUNDINAMARCA</t>
  </si>
  <si>
    <t>75 DE 24/04/2018</t>
  </si>
  <si>
    <t>2021-2022</t>
  </si>
  <si>
    <t>SECRETARÍA DE CIENCIA, TECNOLOGÍA E INNOVACIÓN</t>
  </si>
  <si>
    <t xml:space="preserve">CIENCIA, TECNOLOGIA E INNOVACIÓN </t>
  </si>
  <si>
    <t>FORTALECIMIENTO DE LA CULTURA DE LA GESTIÓN Y UTILIZACIÓN DEL CONOCIMIENTO EN CTEI EN NIÑOS, JÓVENES Y COMUNIDADES DEL DEPARTAMENTO DE CUNDINAMARCA</t>
  </si>
  <si>
    <t>2017000100104</t>
  </si>
  <si>
    <t>74 DE 10/04/2019</t>
  </si>
  <si>
    <t xml:space="preserve">FORTALECIMIENTO DE CAPACIDADES DE GESTIÓN DEL RIESGO A TRAVÉS DE APROPIACIÓN SOCIAL DE LA CIENCIA, LA TECNOLOGÍA Y LA INNOVACIÓN EN EL DEPARTAMENTO DE CUNDINAMARCA </t>
  </si>
  <si>
    <t>2017000100076</t>
  </si>
  <si>
    <t>68 DE 10/08/2018</t>
  </si>
  <si>
    <t xml:space="preserve">IMPLEMENTACIÓN DE ESTRATEGIAS DE FOMENTO A LA CULTURA Y SERVICIOS DE INNOVACIÓN EN LAS PROVINCIAS SABANA OCCIDENTE, SABANA CENTRAL, SOACHA Y SUMAPAZ CUNDINAMARCA </t>
  </si>
  <si>
    <t>63 DE 29/12/2017</t>
  </si>
  <si>
    <t xml:space="preserve">ANLISIS DE FACTORES GENETICOS, SANITARIOS Y MEDIOAMBIENTALES QUE AFECTAN LAS TASAS DE PREÑEZ A PARTIR DE EMBRIONES IN VITRO EN EL DEPARTAMENTO DE CUNDINAMARCA </t>
  </si>
  <si>
    <t xml:space="preserve">CONFORMACIÓN DE UNA CONVOCATORIA REGIONAL DE PROYECTOS I+D EN FOCOS PRIORIZADOS CTEI PARA EL FORTALECIMIENTO DE LOS GRUPOS DE INVESTIGACIÓN CUNDINAMARCA </t>
  </si>
  <si>
    <t>58 DE 13/07/2017</t>
  </si>
  <si>
    <t xml:space="preserve">IMPLEMENTACIÓN DE UN SISTEMA DE GESTIÓN DE INNOVACIÓN PARA LA INDUSTRIA DE CUNDINAMARCA </t>
  </si>
  <si>
    <t>IMPLEMENTACIÓN PROGRAMA DE INNOVACIÓN PARA LA VALIDACIÓN Y GENERACIÓN DE PRODUCTOS DERIVADOS DE LA BIODIVERSIDAD EN EL DEPARTAMENTO DE CUNDINAMARCA</t>
  </si>
  <si>
    <t>MUNICIPIO DE SAN BERNARDO</t>
  </si>
  <si>
    <t>AMBIENTE Y DESARROLLO SOSTENIBLE</t>
  </si>
  <si>
    <t xml:space="preserve">CONSTRUCCIÓN DE OBRAS PARA LA MITIGACIÓN DEL RIESGO EN EL MUNICIPIO DE SAN BERNARDO, BENEFICIANDO A COMUNIDADES DE LOS MUNICIPIOS DE ARBELAEZ, PANDI Y VENECIA CUNDINAMARCA </t>
  </si>
  <si>
    <t>SECRETARÍA DE AMBIENTE</t>
  </si>
  <si>
    <t xml:space="preserve"> IMPLEMENTACIÓN DE ACCIONES DE REHABILITACIÓN EN LA RESERVA FORESTAL PEÑAS DEL ASERRADERO, COMO ESTRATEGIA PARA LA MITIGACIÓN DEL CAMBIO CLIMÁTICO EN LA PROVINCIA DE GUALIVÁ, DEPARTAMENTO DE CUNDINAMARCA</t>
  </si>
  <si>
    <t>2018000050034</t>
  </si>
  <si>
    <t>RECUPERACIÓN HIDRÁULICA Y AMBIENTAL DEL COMPLEJO LAGUNAR FÚQUENE</t>
  </si>
  <si>
    <t>2017000050063</t>
  </si>
  <si>
    <t xml:space="preserve"> CONSTRUCCIÓN DE OBRAS DE MITIGACIÓN DEL RIESGO POR EVENTOS CLIMÁTICOS EN LA CUENCA DE LA QUEBRADA LA PARROQUIA EN EL CERRO DE FUSACATÁN DEL MUNICIPIO DE FUSAGASUGÁ, CUNDINAMARCA</t>
  </si>
  <si>
    <t>2017000050070</t>
  </si>
  <si>
    <t>Ambiente y Desarrollo Sostenible</t>
  </si>
  <si>
    <t>RAPE</t>
  </si>
  <si>
    <t>IMPLEMENTACIÓN DE ACCIONES DE CONSERVACION Y RESTAURACION DE LOS COMPLEJOS DE PARAMO, BOSQUE ALTO-ANDINO Y SERVICIOS ECOSISTEMICOS DE LA REGION CENTRAL</t>
  </si>
  <si>
    <t>2016000050012</t>
  </si>
  <si>
    <t>58 DE 12/12/2016</t>
  </si>
  <si>
    <t>AGRICULTURA Y DESARROLLO RURAL</t>
  </si>
  <si>
    <t>CONSTRUCCIÓN DE LA PLAZA DE MERCADO DEL MUNICIPIO DE CHOACHÍ CUNDINAMARCA</t>
  </si>
  <si>
    <t>SECRETARIA DE HÁBITAT Y VIVIENDA</t>
  </si>
  <si>
    <t xml:space="preserve">MEJORAMIENTO DE VIVIENDA RURAL EN LOS MUNICIPIOS DE CUCUNUBÁ, JERUSALEN, QUEBRADANEGRA Y VIOTÁ - DEPARTAMENTO DE CUNDINAMARCA </t>
  </si>
  <si>
    <t>SECRETARÍA DE AGRICULTURA</t>
  </si>
  <si>
    <t>FORTALECIMIENTO DE LAS CADENAS PRODUCTIVAS DE MANGO, AGUACATE Y CÍTRICOS EN EL DEPARTAMENTO DE CUNDINAMARCA</t>
  </si>
  <si>
    <t>72 DE 24/01/2018</t>
  </si>
  <si>
    <t>MEJORAMIENTO DE LA PRODUCTIVIDAD Y RENTABILIDAD DE LOS CAFICULTORES DEL DEPARTAMENTO DE CUNDINAMARCA</t>
  </si>
  <si>
    <t>2017000050065</t>
  </si>
  <si>
    <t xml:space="preserve"> MEJORAMIENTO DE VIVIENDAS RURALES DE LA PROVINCIA DE UBATÉ - CUNDINAMARCA</t>
  </si>
  <si>
    <t>2017000050042</t>
  </si>
  <si>
    <t>CONSTRUCCIÓN DE VIVIENDAS NUEVAS RURALES EN EL DEPARTAMENTO DE CUNDINAMARCA</t>
  </si>
  <si>
    <t>2016000050052</t>
  </si>
  <si>
    <t>VALOR TOTAL</t>
  </si>
  <si>
    <t>OTROS APORTES</t>
  </si>
  <si>
    <t>CIENCIA Y TECNOLOGIA</t>
  </si>
  <si>
    <t>PROPIOS</t>
  </si>
  <si>
    <t>FCR</t>
  </si>
  <si>
    <t xml:space="preserve">FDR </t>
  </si>
  <si>
    <t>BIENIO</t>
  </si>
  <si>
    <t>EJECUTOR</t>
  </si>
  <si>
    <t>SECTOR</t>
  </si>
  <si>
    <t>NOMBRE DEL PROYECTO</t>
  </si>
  <si>
    <t>BPIN</t>
  </si>
  <si>
    <t>ACUERDO DE APROBACIÓN</t>
  </si>
  <si>
    <t>AÑO APROBACIÓN</t>
  </si>
  <si>
    <t>N°</t>
  </si>
  <si>
    <t>TERMINADO</t>
  </si>
  <si>
    <t>PARA CIERRE</t>
  </si>
  <si>
    <t>DESAPROBADO</t>
  </si>
  <si>
    <t>CONTRATADO EN EJECUCIÓN</t>
  </si>
  <si>
    <t>REGISTRADO ACTUALIZADO</t>
  </si>
  <si>
    <t>CONTRATADO SIN ACTA DE INICIO</t>
  </si>
  <si>
    <t>TOTALES VIGENCIA 2016</t>
  </si>
  <si>
    <t>ESTADO DEL PROYECTO EN GESPROY</t>
  </si>
  <si>
    <t>TOTALES VIGENCIA 2017</t>
  </si>
  <si>
    <t>TOTALES VIGENCIA 2019</t>
  </si>
  <si>
    <t xml:space="preserve"> TOTALES VIGENCIA 2018</t>
  </si>
  <si>
    <t>TOTALES VIGENCIA 2018</t>
  </si>
  <si>
    <t xml:space="preserve">TOTAL APROBADO </t>
  </si>
  <si>
    <t>VIGENCIAS</t>
  </si>
  <si>
    <t>FCR - 60%</t>
  </si>
  <si>
    <t>FDR - CAMBIO CLIMÁTICO</t>
  </si>
  <si>
    <t>ASIGNACIÓN PARA LA PAZ - OCAD PAZ</t>
  </si>
  <si>
    <t>FDR - PAZ</t>
  </si>
  <si>
    <t>FLUJO DE CAJA SGR DEPARTAMENTO DE CUNDINAMARCA</t>
  </si>
  <si>
    <t>FONDOS</t>
  </si>
  <si>
    <t>ASIGNACIONES</t>
  </si>
  <si>
    <t>APROBADO</t>
  </si>
  <si>
    <t>SALDO SIN INICIATIVAS</t>
  </si>
  <si>
    <t>SALDO</t>
  </si>
  <si>
    <t>ASIG DIRECTAS</t>
  </si>
  <si>
    <t>FDR BIENIO 2019-2020</t>
  </si>
  <si>
    <t>FCR-60%</t>
  </si>
  <si>
    <t>FDR CAMBIO CLIMATICO</t>
  </si>
  <si>
    <t>CIENCIA Y TEC.</t>
  </si>
  <si>
    <t>FDR- PAZ</t>
  </si>
  <si>
    <t>TOTAL</t>
  </si>
  <si>
    <t>092 DE 06-09-2019</t>
  </si>
  <si>
    <t>091 DE 31-07-2019</t>
  </si>
  <si>
    <t>ESTUDIO Y DISEÑO PARA LA CONSTRUCCIÓN DE REDES ELÉCTRICAS AÉREAS EN ZONAS RURALES DEL DEPARTAMENTO DE CUNDINAMARCA</t>
  </si>
  <si>
    <t>SECRETARÍA DE MINAS Y ENERGIA</t>
  </si>
  <si>
    <t xml:space="preserve">
ESTUDIOS Y DISEÑOS DE VÍAS PARA MEJORAR LA COMPETITIVIDAD DEL DEPARTAMENTO DE CUNDINAMARCA
</t>
  </si>
  <si>
    <t>2019000050073</t>
  </si>
  <si>
    <t>Mejoramiento de infraestructura física, dotación de mobiliario y equipamiento tecnológico de la Universidad Nacional Abierta y a Distancia en Municipios del Departamento de Cundinamarca</t>
  </si>
  <si>
    <t xml:space="preserve"> Fortalecimiento del sistema Departamental para la Gestión del Riesgo de desastres del Departamento de Cundinamarca</t>
  </si>
  <si>
    <t>Protección y preservación del patrimonio audiovisual colombiano que se encuentra en el canal público TEVEANDINA localizado en el departamento de Cundinamarca</t>
  </si>
  <si>
    <t>Fortalecimiento a las escuelas municipales de música, danza, teatro y artes plásticas y visuales en el Departamento de Cundinamarca</t>
  </si>
  <si>
    <t>Ampliación de la Cobertura Del Servicio de Gas Combustible Domiciliario a Través de la financiación de la Conexión y la red Interna Para Usuarios de Barrios Periféricos, Veredas y Centros Poblados del Departamento de Cundinamarca</t>
  </si>
  <si>
    <t>Mejoramiento de la vía que conduce del municipio de Nimaima al municipio de Nocaima, departamento de Cundinamarca</t>
  </si>
  <si>
    <t>Mejoramiento de la vía Serrezuela - El triunfo, Municipio de La Calera, Departamento de Cundinamarca</t>
  </si>
  <si>
    <t>PRESIDENCIA DE LA REPÚBLICA</t>
  </si>
  <si>
    <t>TECNOLOGIA</t>
  </si>
  <si>
    <t>CULTURA</t>
  </si>
  <si>
    <t>UNAD</t>
  </si>
  <si>
    <t>UNIDAD GESTIÓN DEL RIESGO</t>
  </si>
  <si>
    <t>TV ANDINA</t>
  </si>
  <si>
    <t>IDECUT</t>
  </si>
  <si>
    <t>INICIATIVAS EN VERIFICACIÓN</t>
  </si>
  <si>
    <t>INICIATIVAS EN FORMULACIÓN</t>
  </si>
  <si>
    <t>VÍA LOS ALPES QUIPILE-CORRALEJ-REVENTONES</t>
  </si>
  <si>
    <t>INTERCONECTOR BOGOTÁ - SOACHA</t>
  </si>
  <si>
    <t>INFRAESTRUCTURA</t>
  </si>
  <si>
    <t>SECRETARIA DE PLANEACION DISTRITAL BOGOTÁ</t>
  </si>
  <si>
    <t>TOTALES INICIATIVAS EN FORMULACIÓN</t>
  </si>
  <si>
    <t xml:space="preserve"> </t>
  </si>
  <si>
    <t>ASIG PARA LA PAZ - OCAD PAZ</t>
  </si>
  <si>
    <t>BICENTENARIO</t>
  </si>
  <si>
    <t>BOGOTA</t>
  </si>
  <si>
    <t xml:space="preserve">CONVIDA </t>
  </si>
  <si>
    <t xml:space="preserve">SALUD </t>
  </si>
  <si>
    <t xml:space="preserve">095 DE 05-11-2019 </t>
  </si>
  <si>
    <t>094 DE 10-10-2019</t>
  </si>
  <si>
    <t>2019-2021</t>
  </si>
  <si>
    <t>2019-2022</t>
  </si>
  <si>
    <t xml:space="preserve"> MANTENIMIENTO DE LA RED VIAL EN AFIRMADO A TRAVS DE LA ADQUISICIÓN DE MAQUINARIA PESADA Y EQUIPO DE TRANSPORTE EN EL DEPARTAMENTO DE CUNDINAMARCA</t>
  </si>
  <si>
    <t>CONSERVACIÓN Y GESTIÓN INTEGRAL DEL RECURSO HÍDRICO MEDIANTE LA ADQUISICIÓN Y RESTAURACIÓN DE PREDIOS DE INTERÉS ECOSISTÉMICO EN EL DEPARTAMENTO DE CUNDINAMARCA</t>
  </si>
  <si>
    <t>68 DE 07/11/2017</t>
  </si>
  <si>
    <t xml:space="preserve">Mejoramiento de la vía que conduce del municipio de Viani al municipio de Chaguani, (de la y de San Vicente a Chaguani), departamento de Cundinamarca". </t>
  </si>
  <si>
    <t xml:space="preserve">ITEM </t>
  </si>
  <si>
    <t xml:space="preserve">AÑO APROBACION </t>
  </si>
  <si>
    <t xml:space="preserve">PROYECTO </t>
  </si>
  <si>
    <t>FDR</t>
  </si>
  <si>
    <t>FDR-CAMBIO CLIMATICO</t>
  </si>
  <si>
    <t>FCTEI</t>
  </si>
  <si>
    <t>OCAD PAZ</t>
  </si>
  <si>
    <t xml:space="preserve">OTROS </t>
  </si>
  <si>
    <t xml:space="preserve">VALOR TOTAL </t>
  </si>
  <si>
    <t>MEJORAMIENTO DE VIVIENDA RURAL EN LOS MUNICIPIOS DE CUCUNUBÁ, JERUSALEN, QUEBRADANEGRA Y VIOTÁ - DEPARTAMENTO DE  CUNDINAMARCA</t>
  </si>
  <si>
    <t xml:space="preserve"> 13/06/2019</t>
  </si>
  <si>
    <t>CONSTRUCCIÓN DE OBRAS PARA LA MITIGACIÓN DEL RIESGO EN EL MUNICIPIO DE SAN BERNARDO, BENEFICIANDO A COMUNIDADES DE LOS MUNICIPIOS DE ARBELAEZ, PANDI Y VENECIA CUNDINAMARCA</t>
  </si>
  <si>
    <t>31/07/20109</t>
  </si>
  <si>
    <t>FORMACIÓN DE TALENTO HUMANO DE ALTO NIVEL EN MAESTRÍAS EN EL DEPARTAMENTO DE CUNDINAMARCA</t>
  </si>
  <si>
    <t>FORMACIÓN DE CAPITAL HUMANO DE ALTO NIVEL PARA LA INVESTIGACIÓN, EL DESARROLLO TECNOLÓGICO Y LA INNOVACIÓN MAESTRÍAS DE INVESTIGACIÓN PARA DOCENTES DEL DEPARTAMENTO DE CUNDINAMARCA</t>
  </si>
  <si>
    <t>FORTALECIMIENTO DE LA CULTURA DE LA GESTIÓN Y UTILIZACIÓN DEL CONOCIMIENTO EN CTEI EN NIÑOS, JÓVENES Y COMUNIDADES DEL DEPARTAMENTO DE  CUNDINAMARCA</t>
  </si>
  <si>
    <t>MEJORAMIENTO DE LA TRONCAL DE RIONEGRO, SECTOR LA PALMA  CHARCO LARGO PARA LA CONSOLIDACIÓN DE UNA PAZ ESTABLE Y DURADERA EN EL DEPARTAMENTO DE  CUNDINAMARCA</t>
  </si>
  <si>
    <t>MEJORAMIENTO DE LA VÍA GUSBITA - TIBIRITA DEL DEPARTAMENTO DE  CUNDINAMARCA</t>
  </si>
  <si>
    <t>MEJORAMIENTO DE LA VÍA DEPARTAMENTAL LA VICTORIA (EL COLEGIO)  SAN GABRIEL (VIOTÁ), TRAMO LA VICTORIA  ALTO DE LA MULA, DEPARTAMENTO DE  CUNDINAMARCA</t>
  </si>
  <si>
    <t>MEJORAMIENTO DE LA VÍA CÁQUEZA  FOSCA, DEPARTAMENTO DE  CUNDINAMARCA</t>
  </si>
  <si>
    <t>MEJORAMIENTO DE LA VÍA SUPATÁ - PACHO, DEPARTAMENTO DE  CUNDINAMARCA</t>
  </si>
  <si>
    <t>FORTALECIMIENTO DEL SISTEMA DEPARTAMENTAL PARA LA GESTIÓN DEL RIESGO DE DESASTRES DEL DEPARTAMENTO DE CUNDINAMARCA</t>
  </si>
  <si>
    <t>MEJORAMIENTO DE LA VÍA SERREZUELA - EL TRIUNFO, MUNICIPIO DE LA CALERA, DEPARTAMENTO DE CUNDINAMARCA</t>
  </si>
  <si>
    <t>MEJORAMIENTO DE INFRAESTRUCTURA FÍSICA, DOTACIÓN DE MOBILIARIO Y EQUIPAMIENTO TECNOLÓGICO DE LA UNIVERSIDAD NACIONAL ABIERTA Y A DISTANCIA EN MUNICIPIOS DEL DEPARTAMENTO DE CUNDINAMARCA</t>
  </si>
  <si>
    <t>FORTALECIMIENTO A LAS ESCUELAS MUNICIPALES DE MÚSICA, DANZA, TEATRO Y ARTES PLÁSTICAS Y VISUALES EN EL DEPARTAMENTO DE CUNDINAMARCA</t>
  </si>
  <si>
    <t>PROTECCIÓN Y PRESERVACIÓN DEL PATRIMONIO AUDIOVISUAL COLOMBIANO QUE SE ENCUENTRA EN EL CANAL PÚBLICO TEVEANDINA LOCALIZADO EN EL DEPARTAMENTO DE CUNDINAMARCA</t>
  </si>
  <si>
    <t>MEJORAMIENTO DE LA VÍA QUE CONDUCE DEL MUNICIPIO DE NIMAIMA AL MUNICIPIO DE NOCAIMA, DEPARTAMENTO DE CUNDINAMARCA</t>
  </si>
  <si>
    <t>DISPONIBLE FDR + FCR</t>
  </si>
  <si>
    <t>IMPLEMENTACIÓN DE ESTRATEGIAS DE FOMENTO A LA CULTURA Y SERVICIOS DE INNOVACIÓN EN LAS PROVINCIAS SABANA OCCIDENTE, SABANA CENTRAL, SOACHA Y SUMAPAZ  CUNDINAMARCA</t>
  </si>
  <si>
    <t>FORTALECIMIENTO DE CAPACIDADES DE GESTIÓN DEL RIESGO A TRAVÉS DE APROPIACIÓN SOCIAL DE LA CIENCIA, LA TECNOLOGÍA Y LA INNOVACIÓN EN EL DEPARTAMENTO DE   CUNDINAMARCA</t>
  </si>
  <si>
    <t>MEJORAMIENTO DE LA VÍA QUE CONDUCE DEL MUNICIPIO DE LA MESA AL MUNICIPIO DE CACHIPAY, (DE LA INSPECCIÓN DE PEÑA NEGRA AL MUNICIPIO DE CACHIPAY), DEPARTAMENTO DE CUNDINAMARCA</t>
  </si>
  <si>
    <t>Agricultura y desarrollo rural</t>
  </si>
  <si>
    <t xml:space="preserve">EDUCACIÓN </t>
  </si>
  <si>
    <t xml:space="preserve">UNIVERSIDAD NACIONAL </t>
  </si>
  <si>
    <t>SAN CAYETANO- COGUA</t>
  </si>
  <si>
    <t>VIADUCTO LOS CHORROS GUAYABAL DE SIQUIMA BITUIMA</t>
  </si>
  <si>
    <t>MACHETA PLAZA DE MERCADO</t>
  </si>
  <si>
    <t>ESPACIO PUBLICO</t>
  </si>
  <si>
    <t>MEJORAMIENTO DE LA VÍA LA CALERA-LA CABAÑA SERREZUELA</t>
  </si>
  <si>
    <t xml:space="preserve">
FORTALECIMIENTO DE LA AGROINDUSTRIA DE CAÑA PANELERA EN LOS MUNICIPIOS DEL DEPARTAMENTO DE  CUNDINAMARCA
</t>
  </si>
  <si>
    <t xml:space="preserve">liberaciones </t>
  </si>
  <si>
    <t>Disponible aprobaciones hacienda fdr y fdr cambio climatico</t>
  </si>
  <si>
    <t xml:space="preserve">VIGENCIA </t>
  </si>
  <si>
    <t>FONDO</t>
  </si>
  <si>
    <t>CDP</t>
  </si>
  <si>
    <t>RPC</t>
  </si>
  <si>
    <t xml:space="preserve">FCR                     6121 </t>
  </si>
  <si>
    <t xml:space="preserve">DTO INCORPORACION </t>
  </si>
  <si>
    <t>VALOR  INCORPORACION</t>
  </si>
  <si>
    <t>DOCUMENTO DE PAGO (factura)</t>
  </si>
  <si>
    <t xml:space="preserve">VALOR GIRADO </t>
  </si>
  <si>
    <t>FCR  8 - 0200</t>
  </si>
  <si>
    <t>7000057016  (13/06/2014)</t>
  </si>
  <si>
    <t>Acuerdo 012/2013                                 Decreto 0102           Mayo 19/2014</t>
  </si>
  <si>
    <t xml:space="preserve">2500018340                 (06/08/2014)                    </t>
  </si>
  <si>
    <t>7000057007  (12/06/2014)</t>
  </si>
  <si>
    <t>800064064                                (25-08-2014)</t>
  </si>
  <si>
    <t xml:space="preserve">2500018341                  (26/08/2014)                        </t>
  </si>
  <si>
    <t>FCR - 8-0200</t>
  </si>
  <si>
    <t>7000071626  (29/12/2019)</t>
  </si>
  <si>
    <t>800076612            (30-12-2015)</t>
  </si>
  <si>
    <t>Ac Dptal  02/2015         Dto 0453 Dic 28/15</t>
  </si>
  <si>
    <t>2500035572        (30/12/2015)</t>
  </si>
  <si>
    <t>700079685  (29/12/2016)</t>
  </si>
  <si>
    <t>80005539 (29/12/2019)</t>
  </si>
  <si>
    <t>Acuerdo  OCAD Reg 057/2016                         Dto 439</t>
  </si>
  <si>
    <t>2500051240 (29/12/2016)</t>
  </si>
  <si>
    <t>7000090241  (26/2/201/)</t>
  </si>
  <si>
    <t>800093395 (07/02/2018)</t>
  </si>
  <si>
    <t>Ac OCAD Reg 068/2017                    Dto 0394/17</t>
  </si>
  <si>
    <t>2500068188 (04/05/2018)</t>
  </si>
  <si>
    <t>7000100201   (19/12/2018)</t>
  </si>
  <si>
    <t>8000104901 (10/04/2019)</t>
  </si>
  <si>
    <t>Ac 82 OCAD Reg  Nov/13/2018       Dto 045/2019</t>
  </si>
  <si>
    <t>2500077509 (25/04/2019)</t>
  </si>
  <si>
    <t>800064063                       (25-08-2014)</t>
  </si>
  <si>
    <t>004 DE 18-10-2016</t>
  </si>
  <si>
    <t>No aplica</t>
  </si>
  <si>
    <t>Inflexibilidades del plan Departamental de Aguas - 2016</t>
  </si>
  <si>
    <t>Agua y Saneamiento basico</t>
  </si>
  <si>
    <t xml:space="preserve">EPC </t>
  </si>
  <si>
    <t>007 DE 12-10-2017</t>
  </si>
  <si>
    <t>Inflexibilidades del plan Departamental de Aguas - 2017</t>
  </si>
  <si>
    <t>012 DE 11-09-2018</t>
  </si>
  <si>
    <t>Inflexibilidades del plan Departamental de Aguas - 2018</t>
  </si>
  <si>
    <t>015 DE 10-05-2019</t>
  </si>
  <si>
    <t>2019-899999114 (SPGR)</t>
  </si>
  <si>
    <t>Inflexibilidades del plan Departamental de Aguas - 2019</t>
  </si>
  <si>
    <t xml:space="preserve"> Mejoramiento de la competitividad de la cadena productiva de cacao en el Departamento de Cundinamarca</t>
  </si>
  <si>
    <t>2019000100009</t>
  </si>
  <si>
    <t>2019000100028</t>
  </si>
  <si>
    <t>FORMACIÓN DE CAPITAL HUMANO DE ALTO NIVEL UNIVERSIDAD TECNOLÓGICA DE PEREIRA  NACIONAL</t>
  </si>
  <si>
    <t xml:space="preserve">FORMACION  DE CAPITAL HUMANO DE ALTO NIVEL PONTIFICIA UNIVERSIDAD JAVERIANA SEDE CENTRAL  NACIONAL </t>
  </si>
  <si>
    <t xml:space="preserve">INICIATIVAS EN VERIFICACIÓN </t>
  </si>
  <si>
    <t>RESTRICCION 2020</t>
  </si>
  <si>
    <t>FDR+FDR CAMBIO CLIMATICO</t>
  </si>
  <si>
    <t>SALDO DISPONIBLE 2020</t>
  </si>
  <si>
    <t>SALDO 2019</t>
  </si>
  <si>
    <t>Disponible aprobaciones hacienda FDR + FDR cambio climatico +FCR</t>
  </si>
  <si>
    <t>DISPONIBLE 2020</t>
  </si>
  <si>
    <t xml:space="preserve">* FDR CAMBIO CLIMATICO </t>
  </si>
  <si>
    <t>DECRETO 2190 DE 2016  asigana recurso al FDR Cambio Climatico para financiar proyectos de Gestion del Riesgo y adaptacion al cambio climatico.</t>
  </si>
  <si>
    <t xml:space="preserve">ASIGNACIONES DIRECTAS </t>
  </si>
  <si>
    <t xml:space="preserve">INNOVACIÓN EN EL MODELO DE GESTIÓN DEL MEDICAMENTO FASE III EN EL DEPARTAMENTO DE  CUNDINAMARCA
</t>
  </si>
  <si>
    <t>2019000100036</t>
  </si>
  <si>
    <t>FORMACIÓN  DE CAPITAL HUMANO DE ALTO NIVEL UNIVERSIDAD DE LOS ANDES   NACIONAL</t>
  </si>
  <si>
    <t>FCTEI Fondo Ciencia Y tecnologia</t>
  </si>
  <si>
    <t>FLUJO DE CAJA 2020</t>
  </si>
  <si>
    <t>FLUJO DE CAJA 2019</t>
  </si>
  <si>
    <t>RESTRICCION 20%</t>
  </si>
  <si>
    <t>SALDO BIENIO 2019-2020</t>
  </si>
  <si>
    <t xml:space="preserve">SALDO DISPONIBLE </t>
  </si>
  <si>
    <t>EDUCACION</t>
  </si>
  <si>
    <t>SECRETARIA DE EDUCACION</t>
  </si>
  <si>
    <t xml:space="preserve">	Adquisición de ambulancias,equipos biomédicos, elementos de protección personal, aseo y desinfección para la atención de la calamidad sanitaria por Covid-19 en las E.S.E del departamento de Cundinamarca</t>
  </si>
  <si>
    <t>Fortalecimiento a la Estrategia de Alimentación Escolar para el año 2020, en los municipios del Departamento de Cundinamarca</t>
  </si>
  <si>
    <t xml:space="preserve">Adquisiscion de elementos de proteccion de contagio del virus covid -19 para los cuerpos operativos de emergencia, en atencion de la calamidad </t>
  </si>
  <si>
    <r>
      <t xml:space="preserve">Desarrollo de un programa productivo, amigable con el medio ambiente del sector </t>
    </r>
    <r>
      <rPr>
        <sz val="12"/>
        <color theme="1"/>
        <rFont val="Arial "/>
      </rPr>
      <t>ganadero en el Departamento de Cundinamarca Cundinamarca</t>
    </r>
  </si>
  <si>
    <t xml:space="preserve">BPIN </t>
  </si>
  <si>
    <t xml:space="preserve">NOMBRE PROYECTO </t>
  </si>
  <si>
    <t xml:space="preserve">VALOR </t>
  </si>
  <si>
    <t>UNIDAD GESTION DEL RIESGO</t>
  </si>
  <si>
    <t>SECRETARIA DE SALUD</t>
  </si>
  <si>
    <t>MEDICINA LEGAL</t>
  </si>
  <si>
    <t>SECRETARIA DE MINAS Y ENERGIA</t>
  </si>
  <si>
    <t>SECRETARIA DE CIENCIA Y TECNOLOGIA</t>
  </si>
  <si>
    <t>SECRETARIA DE AGRICULTURA</t>
  </si>
  <si>
    <t>INFLEXIBIDAD 2020</t>
  </si>
  <si>
    <t>ASIGNACIONES DIRECTAS</t>
  </si>
  <si>
    <t>2019000100061</t>
  </si>
  <si>
    <t>Fortalecimiento de la capacidad tecnológica instalada en el Centro Agropecuario Marengo para la investigación en los sistemas agroproductivos del trópico alto, bajo el efecto de la variabilidad y cambio climático -  Cundinamarca</t>
  </si>
  <si>
    <t>2019000100015</t>
  </si>
  <si>
    <t>Formación de capital humano de alto nivel - Universidad EAN -  Nacional</t>
  </si>
  <si>
    <t>2019000100022</t>
  </si>
  <si>
    <t>Formación de Capital Humano de Alto nivel - Universidad Católica de Colombia -  Nacional</t>
  </si>
  <si>
    <t>2019000100025</t>
  </si>
  <si>
    <t>Formación de Capital Humano de Alto Nivel Universidad Militar Nueva Granada  Nacional</t>
  </si>
  <si>
    <t>2019000100026</t>
  </si>
  <si>
    <t>Formación De Capital Humano de Alto Nivel Universidad Nacional de Colombia   Nacional</t>
  </si>
  <si>
    <t>2019000100027</t>
  </si>
  <si>
    <t>Formación de capital humano de alto nivel en doctorado para el desarrollo regional, Universidad Distrital Francisco José de Caldas, a nivel  Nacional</t>
  </si>
  <si>
    <t>Investigación LA BIODIVERSIDAD DE BOYACÁ: COMPLEMENTACIÓN Y SÍNTESIS A TRAVÉS DE GRADIENTES ALTITUDINALES EIMPLICACIONES DE SU INCORPORACIÓN EN PROYECTOS DE APROPIACIÓN SOCIAL DE CONOCIMIENTO Y DE EFECTOS DECAMBIO CLIMÁTICO. Boyacá</t>
  </si>
  <si>
    <t>Fortalecimiento y adecuación de equipos e infraestructura del Laboratorio de física del Departamento de Ciencias Básicas, para el mejoramiento de las capacidades institucionales y la investigación en las Unidades Tecnológicas de Santander -  Bucaramanga</t>
  </si>
  <si>
    <t>2020000100016</t>
  </si>
  <si>
    <t>Adecuación , DOTACIÓN E IMPLEMENTACIÓN DE UN LABORATORIO DE FABRICACIÓN DIGITAL PARA PROMOVER EL DESARROLLO DE LA CIENCIA, LAINNOVACIÓN Y EL EMPRENDIMIENTO EN LA UNIVERSIDAD FRANCISCO DE PAULA SANTANDER.  Cúcuta</t>
  </si>
  <si>
    <t>2020000100042</t>
  </si>
  <si>
    <t>Fortalecimiento de los procesos académicos en los programas ofrecidos por el Instituto Universitario de la Paz, UNIPAZ,   Barrancabermeja</t>
  </si>
  <si>
    <t>2020000100103</t>
  </si>
  <si>
    <t>Fortalecimiento de capacidades instaladas de Ciencia y Tecnología del Laboratorio de Diagnóstico en el Campus de la Univ Militar Nueva Granada, para atender problemáticas asociadas con agentes biológicos de alto riesgo para la salud humana,  Cundinamarca</t>
  </si>
  <si>
    <t>2020000100137</t>
  </si>
  <si>
    <t>Fortalecimiento DE LAS CAPACIDADES DE INVESTIGACIÓN Y DESARROLLO PARA ATENDER PROBLEMÁTICAS ASOCIADAS CON AGENTES BIOLÓGICOS PARA LA SALUD PÚBLICA, A TRAVÉS DEL MEJORAMIENTO DEL LABORATORIO DE SALUD PÚBLICA DE   Cundinamarca</t>
  </si>
  <si>
    <t xml:space="preserve">SALDO SIN INICIATIVAS </t>
  </si>
  <si>
    <t>RESTRICCION 50%</t>
  </si>
  <si>
    <t>FCTEI restriccion 40%</t>
  </si>
  <si>
    <t>SALDO INICIAL 2020</t>
  </si>
  <si>
    <t xml:space="preserve">PROYECTOS APROBADOS </t>
  </si>
  <si>
    <t>TOTAL X EJECUTAR</t>
  </si>
  <si>
    <t xml:space="preserve">TOTAL X EJECUTAR </t>
  </si>
  <si>
    <t>(+)</t>
  </si>
  <si>
    <t>(-)</t>
  </si>
  <si>
    <t>(=)</t>
  </si>
  <si>
    <t>Dotación del mobiliario escolar para las instituciones educativas de los municipios no certificados del Departamento de Cundinamarca</t>
  </si>
  <si>
    <t>Mejoramiento de la via zipaquira - san jorge tabio</t>
  </si>
  <si>
    <t>INICIATIVAS EN VERIFICACIÓN 2020</t>
  </si>
  <si>
    <t>INICIATIVAS EN VERIFICACION 2021</t>
  </si>
  <si>
    <t>SALDO 2020</t>
  </si>
  <si>
    <t>SALDO 2021</t>
  </si>
  <si>
    <t>Fortalecimiento de las competencias comunicativas en ingles de los estudiantes de los establecimientos educativos RCA</t>
  </si>
  <si>
    <t>Via de Zipaquira y Tocancipa, tramo barandillas - la fuente Departamento de Cundinamarca</t>
  </si>
  <si>
    <t>TOTALES INICIATIVAS EN VERIFICACIÓN 2021</t>
  </si>
  <si>
    <t xml:space="preserve">PROYECTO DESAPROBADO </t>
  </si>
  <si>
    <t>2020000100017</t>
  </si>
  <si>
    <t>Fortalecimiento DE LA CAPACIDAD INSTITUCIONAL DE INVESTIGACIÓN DE LA UNIVERSIDAD INDUSTRIAL DESANTANDER  Nacional</t>
  </si>
  <si>
    <t>2020000100019</t>
  </si>
  <si>
    <t>Fortalecimiento de capacidades de investigación y desarrollo tecnológico de la Universidad Colegio Mayor de Cundinamarca a partir de tecnologías industria 4.0 para el diseño y construcción en   Bogotá</t>
  </si>
  <si>
    <t>2020000100075</t>
  </si>
  <si>
    <t>Aprovechamiento de la biodiversidad en agraz y papa para el desarrollo de cultivos promisorios en el departamento de   Santander</t>
  </si>
  <si>
    <t>2020000100079</t>
  </si>
  <si>
    <t>Fortalecimiento de la infraestructura tecnológica y equipamiento del ambiente de formación industrial para el aumento de las capacidades institucionales en CTeI de la ETITC  Bogotá</t>
  </si>
  <si>
    <t>2020000100114</t>
  </si>
  <si>
    <t>Fortalecimiento del ecosistema de investigación científica para CTeI en la universidad pedagógica y tecnológica de Colombia UPTC, I-SPACIO  Sogamoso</t>
  </si>
  <si>
    <t>2020000100158</t>
  </si>
  <si>
    <t>Fortalecimiento de la Infraestructura física y tecnológica del Centro de Estudios Agroambientales de la Universidad de Cundinamarca Agrou  Cundinamarca</t>
  </si>
  <si>
    <t>2020000100169</t>
  </si>
  <si>
    <t>Investigación Desarrollo, innovación y transferencia de conocimiento para el procesamiento de la semilla de Sacha Inchi en productos de valor agregado, como estrategia para mejorar la productividad del sector agroindustrial de la Región  Cundinamarca</t>
  </si>
  <si>
    <t>2020000100197</t>
  </si>
  <si>
    <t>Desarrollo de bioplaguicidas potenciados de nueva generación para el mejoramiento de la productividad e inocuidad del cultivo de tomate y crucíferas en el departamento de  Cundinamarca</t>
  </si>
  <si>
    <t>2020000100205</t>
  </si>
  <si>
    <t>Traslado de tecnologías innovadoras a caficultores con impacto sobre la calidad del café y la gestión del recurso hídrico durante el proceso de beneficio en zona cafetera del departamento de  Cundinamarca</t>
  </si>
  <si>
    <t>2020000100240</t>
  </si>
  <si>
    <t>Estudio de prefactibilidad para la creación de un centro de innovación y de productividad para el sector agropecuario de Sabana Occidente de  Cundinamarca</t>
  </si>
  <si>
    <t>2020000100246</t>
  </si>
  <si>
    <t>Fortalecimiento de la competitividad de la cadena productiva de la Guadua por medio del desarrollo e implementación de dos (2) paquetes tecnológicos para la generación de productos con valor agregado en el Departamento de   Cundinamarca</t>
  </si>
  <si>
    <t>2020000100266</t>
  </si>
  <si>
    <t>Generación  de espacios de encuentro de la sociedad con la Ciencia y la tecnología -  Un viaje con la ciencia  en el departamento de   Cundinamarca</t>
  </si>
  <si>
    <t xml:space="preserve">Fortalecimiento de capacidades de CTEI para la reactivacion economica y la transformacion productiva </t>
  </si>
  <si>
    <t>Desarrollo, transferencia de tecnologia y conocimiento para la innovacion que fortalezcan capacidades comunitarias en la compresion y/o mitigacion de los problemas de violencias basadas en genero, derivadas de la emergencia por COVID19</t>
  </si>
  <si>
    <t>Fortalecimiento de capacidades de CTEI para la innovacion educativa en los niveles de basica y media, mediante uso de TICS en instituciones educativas oficiales de los municipios no certificados</t>
  </si>
  <si>
    <t>Fortalecimiento de capacidades de CTEI para el relacionamiento escuela-contexto rural mediante la apropiacion y uso de las TIC en el municipio de sibate, Departamento de Cundinamarca</t>
  </si>
  <si>
    <t>ENTIDAD</t>
  </si>
  <si>
    <t>ACUERDO 85 DE 29/11/2019</t>
  </si>
  <si>
    <t>ACUERDO 87 DE 31/12/2019</t>
  </si>
  <si>
    <t>ACUERDO 86 DE 13/12/2019</t>
  </si>
  <si>
    <t>ACUERDO 83 DE 12/11/2019</t>
  </si>
  <si>
    <t>ACUERDO 92 DE 29/04/2020</t>
  </si>
  <si>
    <t>ACUERDO 94 DE 16/06/2020</t>
  </si>
  <si>
    <t>ACUERDO 93 DE 15/05/2020</t>
  </si>
  <si>
    <t>ACUERDO 97 DE 04/09/2020</t>
  </si>
  <si>
    <t>ACUERDO 98 DE 07/10/2020</t>
  </si>
  <si>
    <t>SALDO INICIAL 2021</t>
  </si>
  <si>
    <t>Financiar el plan Departamental de Aguas</t>
  </si>
  <si>
    <t>TOTAL DISPONIBLE 2020</t>
  </si>
  <si>
    <t>ASIGNACIONES 2021-2022</t>
  </si>
  <si>
    <t>TOTAL DISPONIBLE</t>
  </si>
  <si>
    <t>TOTAL DISPONIBLE 2021</t>
  </si>
  <si>
    <t>FORMULAR</t>
  </si>
  <si>
    <t>PROYECTOS PRIORIZADOS  2020</t>
  </si>
  <si>
    <t>PROYECTOS PRIORIZADOS  2021</t>
  </si>
  <si>
    <t>SALDOS CONSOLIDADOS</t>
  </si>
  <si>
    <t>SALDO FDR+FCR CON INICIATIVAS 2020</t>
  </si>
  <si>
    <t>SALDO FDR+FCR SIN INICIATIVAS 2020</t>
  </si>
  <si>
    <t xml:space="preserve">TOTAL </t>
  </si>
  <si>
    <t>APROBADO 2020</t>
  </si>
  <si>
    <t xml:space="preserve">EN TRAMITE DE APROBACION </t>
  </si>
  <si>
    <t>TOTAL APROBADO</t>
  </si>
  <si>
    <t>PROYECTOS APROBADOS FDR Y FCR 60%</t>
  </si>
  <si>
    <t>FCTEI EN TRAMITE DE APROBACION</t>
  </si>
  <si>
    <t>diseño e implementacion de un modelo de gestion de conocimiento, innovacion y transferencia de tecnologia con aplicación en ele sector agropecuario y agroindrustrial en el departamento de cundinamarca</t>
  </si>
  <si>
    <t>Fortalecimiento de capacidades de CTEI para la innovacion educativa en los niveles de basica y media, mediante uso de TICS en instituciones educativas oficiales de los municipios no certificados en el departamento de cundinamarca</t>
  </si>
  <si>
    <t>Proyecto Aprobado</t>
  </si>
  <si>
    <t>,</t>
  </si>
  <si>
    <t>Saldo 2021</t>
  </si>
  <si>
    <t>2020000100696</t>
  </si>
  <si>
    <t>2020000100695</t>
  </si>
  <si>
    <t>2020000100650</t>
  </si>
  <si>
    <t>2020000100649</t>
  </si>
  <si>
    <t>2020000100216</t>
  </si>
  <si>
    <t>Innovación y transferencia tecnológica de UMNGBIO a productores de flores para el control biológico de Tetranychus urticae (Acari: Tetranychiidae) en cultivos de invernadero con el ácaro benéfico Neoseiulus californicus (Acari: Phytoseiidae)  Cundinamarca</t>
  </si>
  <si>
    <t>2020000100339</t>
  </si>
  <si>
    <t>Desarrollo de Nuevos Métodos No Destructivos para Monitoreo In Situ de Probabilidad de Ocurrencia de Falla en Tuberías en el Sector de Hidrocarburos en los Departamentos de  Bogotá Boyacá Santander</t>
  </si>
  <si>
    <t>2020000100728</t>
  </si>
  <si>
    <t>Generación y transferencia de conocimientos y tecnologías para elevar capacidades de CTel de pequeños productores de tomate para afrontar problemas derivados del COVID-19 asociadas a la Seg. Alimentaria en las Sab. Centro y Oriente  Cundinamarca</t>
  </si>
  <si>
    <t>2020000100342</t>
  </si>
  <si>
    <t>Estudio de potenciales insecticidas en matrices poliméricas para el control de plagas de granos almacenados basados en aceites esenciales provenientes de la biodiversidadflorística del departamento de  Cundinamarca</t>
  </si>
  <si>
    <t>2020000100343</t>
  </si>
  <si>
    <t>Implementación laboratorio de calidad fisicoquímica de alimentos para el fortalecimiento competitivo y sostenible de lascadenas agroalimentarias del departamento de  Norte de Santander</t>
  </si>
  <si>
    <t>2020000100351</t>
  </si>
  <si>
    <t>Desarrollo de un prototipo selectivo y sensible para monitorear contenido de cadmio in situ en diversas matrices asociadas a la producción de granos de cacao en el departamento de  Santander</t>
  </si>
  <si>
    <t>2020000100375</t>
  </si>
  <si>
    <t>Conformación de una plataforma para estudios celulares avanzados in vivo en tiempo real para el análisis de la respuesta inmunometabólica ante la reexpresión de interferón tipo I kappa en esferoides de células tumorales de cuello uterino en  Santander</t>
  </si>
  <si>
    <t>2020000100415</t>
  </si>
  <si>
    <t>Desarrollo de un sistema óptico  computacional para estimar el contenido de carbono orgánico de suelos agrícolas a través de imágenes espectrales e inteligencia artificial en cultivos de cítricos de   Santander</t>
  </si>
  <si>
    <t>2020000100433</t>
  </si>
  <si>
    <t>Investigación de los compuestos volátiles orgánicos e inducidos para el manejo de moscas plagas en gulupa y granadilla en el departamento de  Cundinamarca</t>
  </si>
  <si>
    <t>Valor Inicial 2020</t>
  </si>
  <si>
    <t>saldo 2021</t>
  </si>
  <si>
    <t>TOTAL APROBADO 2020</t>
  </si>
  <si>
    <t>TOTAL APROBADO  2020</t>
  </si>
  <si>
    <t>FLUJO DE CAJA 2021</t>
  </si>
  <si>
    <t>INVERSIONES REGIONALES</t>
  </si>
  <si>
    <t>CTEI - Medio Ambiente</t>
  </si>
  <si>
    <t xml:space="preserve">CTEI </t>
  </si>
  <si>
    <t>ASIGANCION</t>
  </si>
  <si>
    <t>FCR-60% BIENIO 2020</t>
  </si>
  <si>
    <t>FDR BIENIO 2020</t>
  </si>
  <si>
    <t>CTEI-MEDIO AMBIENTE</t>
  </si>
  <si>
    <t>SALDO INVERSION REGIONAL</t>
  </si>
  <si>
    <t xml:space="preserve">SALDO FDR+FDR CLIMATICO+FCR </t>
  </si>
  <si>
    <t>SALDO CTEI + CTEI AMBIENTE</t>
  </si>
  <si>
    <t>FCTEI - MEDIO AMBIENTE</t>
  </si>
  <si>
    <t xml:space="preserve"> FCTEI-MEDIO AMBIENTE</t>
  </si>
  <si>
    <t xml:space="preserve"> LEY 2072 DEL 2020  (BIENIO 2021-2022)</t>
  </si>
  <si>
    <t>Fortalecimiento a la estrategia de alimentacion escolar para el año 2021, en los municipios del departamento de cundinamarca</t>
  </si>
  <si>
    <t xml:space="preserve">INVERSION REGIONAL 60 % </t>
  </si>
  <si>
    <t>ASIGNACION PARA LA INVERSION REGIONAL</t>
  </si>
  <si>
    <t>2013-2014</t>
  </si>
  <si>
    <t>TOTALES</t>
  </si>
  <si>
    <t xml:space="preserve">FONDO </t>
  </si>
  <si>
    <t>FDR- CAMBIO CLIMATICO</t>
  </si>
  <si>
    <t>INVERSION REGIONAL 40%</t>
  </si>
  <si>
    <t>ASIGNACION PARA LA INVERSION 60%</t>
  </si>
  <si>
    <t>ASIGNACION PARA INVERSION 40%</t>
  </si>
  <si>
    <t>MEJORAMIENTO DE VIVIENDA EN ÁREA RURAL (34 MUNICIPIOS)</t>
  </si>
  <si>
    <t>ESTUDIOS Y DISEÑOS PARA LA AMPLIACIÓN DE LA AVENIDA TRONCAL CIUDAD CALI EN EL MUNICIPIO DE SOACHA CUNDINAMARCA</t>
  </si>
  <si>
    <t>CONSTRUCCION CICLORUTA</t>
  </si>
  <si>
    <t>INCENTIVO A LA PRODUCCION</t>
  </si>
  <si>
    <t>SUBSIDIOS PARA LA CONEXIÓN DEL SERVICIO DE GAS DOMICILIARIO EN 26 MUNICIPIOS DEL DEPARTAMENTO DE CUNDINAMARCA</t>
  </si>
  <si>
    <t>FORTALECIMIENTO DE LAS CADENAS PRODUCTIVAS, A TRAVÉS DE LA ENTREGA DE EQUIPOS,HERRAMIENTAS E INSUMOS PARA LA REACTIVACIÓN DEL SECTOR AGRÍCOLA EN EL DEPARTAMENTO DE CUNDINAMARCA</t>
  </si>
  <si>
    <t>OPTIMIZACIÓN DE LOS SISTEMAS GANADEROS BOVINOS DE CARNE, LECHE Y DOBLE PROPÓSITO A PARTIR DE LA IMPLEMENTACIÓN DE MEJORAMIENTO GENÉTICO, PRODUCTIVO Y ENTREGA DE MAQUINARIA Y EQUIPOS EN MUNICIPIOS DEL DEPARTAMENTO DE CUNDINAMARCA</t>
  </si>
  <si>
    <t>PAE 2022</t>
  </si>
  <si>
    <t>TRANSPORTE ESCOLAR 2022</t>
  </si>
  <si>
    <t>AMPLIACIÓN DE UN SISTEMA DE REDES DE ACUEDUCTO PARA EL SUMINISTRO DE AGUA EN LA PROVINCIA DE SABANA DE OCCIDENTE</t>
  </si>
  <si>
    <t>MEJORAMIENTO VÍAL EN MUNICIPIOS DE LA PROVINCIA DE RIONEGRO</t>
  </si>
  <si>
    <t>ENTREGA DE INSUMOS Y/O KITS PARA EL EMPRENDIMIENTO Y LA REACTIVACIÓN ECONÓMICA DE LAS MIPYMES DEL DEPARTAMENTO DE CUNDINAMARCA</t>
  </si>
  <si>
    <t>MEJORAMIENTO DE LA PRODUCTIVIDAD DE LOS CULTIVOS DE CAÑA PANELERA EN EL DEPARTAMENTO DE CUNDINAMARCA (PROYECTO)</t>
  </si>
  <si>
    <t>CONSTRUCCIÓN DEL FRIGORÍFICO EN EL MUNICIPIO DE CHIPAQUE</t>
  </si>
  <si>
    <t>PACTO</t>
  </si>
  <si>
    <t>INICIATIVAS 2021</t>
  </si>
  <si>
    <t>PROYECTO</t>
  </si>
  <si>
    <t>MINAS Y ENERGIA</t>
  </si>
  <si>
    <t>AGRICULTURA</t>
  </si>
  <si>
    <t>AMBIENTE</t>
  </si>
  <si>
    <t>TRASNPORTE</t>
  </si>
  <si>
    <t>INFRESTRUCTURA</t>
  </si>
  <si>
    <t>AVANCE</t>
  </si>
  <si>
    <t>ASIGNACION INVERSIONREGIONAL 40 %</t>
  </si>
  <si>
    <t xml:space="preserve">COMPETITIVIDAD </t>
  </si>
  <si>
    <t>APROBADO 2021</t>
  </si>
  <si>
    <t>SALDO CON INICIATIVAS 2021</t>
  </si>
  <si>
    <t>OBRAS DE MITIGACION EN MUNICIPIOS RIESGO EMINENTE
VIVERO REGIONAL</t>
  </si>
  <si>
    <t>GOBIERNO TERRITORIAL
AMBIENTE</t>
  </si>
  <si>
    <t>INVERSIONES REGIONAL 60 %</t>
  </si>
  <si>
    <t>DISPONIBLE DNP</t>
  </si>
  <si>
    <t>DISPONIBLE GOBERNACION</t>
  </si>
  <si>
    <t>GOBERNACION INICIAL</t>
  </si>
  <si>
    <t>DNP INICIAL</t>
  </si>
  <si>
    <t>DIFERENCIA</t>
  </si>
  <si>
    <t>INFLEX-0425-0011</t>
  </si>
  <si>
    <t>Inflexibilidades pago servicio de la deuda deparatmento de cundinamarca 2021</t>
  </si>
  <si>
    <t>DECRETO O ACUERDO DE APROBACIÓN</t>
  </si>
  <si>
    <t>DECRETO 411 DE 2021</t>
  </si>
  <si>
    <t>ACUERDO No 3 DE 2021</t>
  </si>
  <si>
    <t>DECRETO 454 DE 2021</t>
  </si>
  <si>
    <t>DECRETO 284 DE 2021</t>
  </si>
  <si>
    <t>ASIGNACION INVERSIÓN REGIONAL 40%</t>
  </si>
  <si>
    <t>ASIGNACION INVERSION REGIONAL 60% = 123.780.406.795</t>
  </si>
  <si>
    <t>ASIGNACIONES DIRECTAS = 3.428.926.954</t>
  </si>
  <si>
    <t>FDR CAMBIO CLIMATICO= 7.227.603.443</t>
  </si>
  <si>
    <t>FDR40% y  FCR 60% = 9.615.162.195</t>
  </si>
  <si>
    <t>INCENTIVO A LA PRODUCCIÓN= 6.928.967.103</t>
  </si>
  <si>
    <t>FORTALECIMIENTO A LA ESTRATEGIA DE ALIMENTACION ESCOLAR PARA EL AÑO 2021, EN LOS MUNICIPIOS DEL DEPARTAMENTO DE CUNDINAMARCA</t>
  </si>
  <si>
    <t>INFLEXIBILIDADES PAGO SERVICIO DE LA DEUDA DEPARATMENTO DE CUNDINAMARCA 2021</t>
  </si>
  <si>
    <t>INICIATIVAS</t>
  </si>
  <si>
    <t>OBRAS DE MITIGACION EN MUNICIPIOS RIESGO EMINENTE
VIVERO REGIONAL</t>
  </si>
  <si>
    <t xml:space="preserve">TOTAL INICIATIVAS </t>
  </si>
  <si>
    <t>TOTAL GENERAL DISPONIBLE 2021-2022</t>
  </si>
  <si>
    <t>INFLEXIBILIDADES 2022</t>
  </si>
  <si>
    <t>DECRETO PRESIDENCIAL 3.835.486.898</t>
  </si>
  <si>
    <t>INFLEXIBILIDAD 2022</t>
  </si>
  <si>
    <t>FORTALECIMIENTO DEL SISTEMA AUTOMOTOR, PARA LA GESTIÓN DEL RIESGO DE DESASTRES DEL DEPARTAMENTO DE CUNDINAMARCA</t>
  </si>
  <si>
    <t>DECRETO 496 DE 2021</t>
  </si>
  <si>
    <t>CONSTRUCCIÓN DEL CENTRO DE FORMACIÓN E INNOVACIÓN MINERO ENERGÉTICO DE CUNDINAMARCA</t>
  </si>
  <si>
    <t>INCENTIVO A LA PRODUCCIÓN</t>
  </si>
  <si>
    <t xml:space="preserve">TOTAL GENERAL </t>
  </si>
  <si>
    <t>FLUJO DE CAJA 2022</t>
  </si>
  <si>
    <t>DECRETO PRESIDENCIAL</t>
  </si>
  <si>
    <t>APROBADO 2022</t>
  </si>
  <si>
    <t>INICIATIVAS 2022</t>
  </si>
  <si>
    <t>SALDO CON INICIATIVAS 2022</t>
  </si>
  <si>
    <t>DECRETO 546 DE 2021</t>
  </si>
  <si>
    <t>DECRETO 547 DE 2021</t>
  </si>
  <si>
    <t>SALDO INICIAL 2022</t>
  </si>
  <si>
    <t>FUENTE</t>
  </si>
  <si>
    <t>SALDO DISPONIBLE 2022</t>
  </si>
  <si>
    <t>PROYECTOS EN TRAMITE 2022</t>
  </si>
  <si>
    <t>AIR 40%</t>
  </si>
  <si>
    <t>AIR 60%</t>
  </si>
  <si>
    <t>RECAUDO EN CAJA</t>
  </si>
  <si>
    <t>Concepto</t>
  </si>
  <si>
    <t xml:space="preserve">Dic. Fecha Corte </t>
  </si>
  <si>
    <t xml:space="preserve">AIR 60% </t>
  </si>
  <si>
    <t>Saldo del mayor recaudo 2017-2018</t>
  </si>
  <si>
    <t>Desahorro caida 2020 - Decreto 322 de 2021</t>
  </si>
  <si>
    <t>Asignaciones Directas</t>
  </si>
  <si>
    <t>Disponibilidad Inicial</t>
  </si>
  <si>
    <t>Compensaciones Decreto 1741 de 2021</t>
  </si>
  <si>
    <t>APROBACIONES</t>
  </si>
  <si>
    <t>VALOR SGR</t>
  </si>
  <si>
    <t>OBERVACIONES</t>
  </si>
  <si>
    <t>Avance Fisico y Financiera es de aprox. 85. Se encuentra en proceso de liquidación contractual</t>
  </si>
  <si>
    <t>Recurso destinado al financiamiento del PDA Dptal</t>
  </si>
  <si>
    <t xml:space="preserve">En proceso de Contratación </t>
  </si>
  <si>
    <t>FORTALECIMIENTO DEL SISTEMA AUTOMOTOR PARA LA GESTIÓN DEL RIESGO DE DESASTRES DEL DEPARTAMENTO DE. CUNDINAMARCA</t>
  </si>
  <si>
    <t>En proceso de cumplimiento de requisitos previos</t>
  </si>
  <si>
    <t>SALDO NO COMPROMETIDO</t>
  </si>
  <si>
    <t>% DE APROBACIÓN</t>
  </si>
  <si>
    <t>FECHA DE APROBACIÓN EN SUIFP</t>
  </si>
  <si>
    <t xml:space="preserve">MIGRACION PROYECTO AL GESPROY(10 DIAS </t>
  </si>
  <si>
    <t>FECHA APROBACION PROYECTO</t>
  </si>
  <si>
    <t>ASIGNACION PRESUPUESTAL 30 DIAS</t>
  </si>
  <si>
    <t>APERTURA PROCESO DE CONTRACTACION</t>
  </si>
  <si>
    <t xml:space="preserve">SUSCRIPCION DEL PRIMER CONTRATO </t>
  </si>
  <si>
    <t xml:space="preserve">VIVERO DEPRATMENTAL </t>
  </si>
  <si>
    <t xml:space="preserve">AJUSTE PROYECTOS DE COMPETITIVIDAD </t>
  </si>
  <si>
    <t>DECRETO 1741 de 2022 asignaciones directas</t>
  </si>
  <si>
    <t>ASIGNACION INDICATIVA</t>
  </si>
  <si>
    <t xml:space="preserve">APROBACIONES </t>
  </si>
  <si>
    <t>SALDO DISPONIBLE</t>
  </si>
  <si>
    <t>CUNDINAMARCA</t>
  </si>
  <si>
    <t>DNP</t>
  </si>
  <si>
    <t xml:space="preserve">se encuentra en incorporacion de recursos </t>
  </si>
  <si>
    <t>marlen.zapata</t>
  </si>
  <si>
    <t>martha</t>
  </si>
  <si>
    <t>cruda</t>
  </si>
  <si>
    <t>Falta 23 reintegros pendientes y no hay actas de liquidación SE DEMORA</t>
  </si>
  <si>
    <t>Alecillo</t>
  </si>
  <si>
    <t xml:space="preserve">Raul </t>
  </si>
  <si>
    <t>Educación</t>
  </si>
  <si>
    <t>Fortalecimiento de la permanencia de los estudiantes para el año 2019 en los municipios del Departamento de  Cundinamarca</t>
  </si>
  <si>
    <t>cocinando</t>
  </si>
  <si>
    <t xml:space="preserve">Falta reintegros por parte de tesoreria SE HIZO MESA DE TRABAJO 3 SEMANA DE JUNIO. </t>
  </si>
  <si>
    <t>Yair</t>
  </si>
  <si>
    <t>FORTALECIMIENTO DE LA PERMANENCIA DE LOS ESTUDIANTES EN LOS MUNICIPIOS DEL DEPARTAMENTO DE CUNDINAMARCA , CENTRO ORIENTE 2017    CUNDINAMARCA</t>
  </si>
  <si>
    <t>con resolucion de cierre</t>
  </si>
  <si>
    <t>Falta documento de comité de cafeteros para dar inicio al tramite. Ajustando valores pagaron de todas las fuentes de financiación</t>
  </si>
  <si>
    <t>Diego</t>
  </si>
  <si>
    <t>Rainer</t>
  </si>
  <si>
    <t>Agricultura</t>
  </si>
  <si>
    <t>FORTALECIMIENTO DE LA ACTIVIDAD CAFETERA COMO ALTERNATIVA SOSTENIBLE DE DESARROLLO REGIONAL EN EL DEPARTAMENTO DE CUNDINAMARCA</t>
  </si>
  <si>
    <t>Recrudo</t>
  </si>
  <si>
    <r>
      <t xml:space="preserve">Tiene un PAC. SE se puede cerrar hasta que se tome una decisión . </t>
    </r>
    <r>
      <rPr>
        <b/>
        <sz val="10"/>
        <color theme="1"/>
        <rFont val="Century Gothic"/>
        <family val="2"/>
      </rPr>
      <t xml:space="preserve">Acto administrativo de cierre por fuerza mayor. </t>
    </r>
  </si>
  <si>
    <t>Jair</t>
  </si>
  <si>
    <t>Minas y Energia</t>
  </si>
  <si>
    <t>CONSTRUCCIÓN REDES ELeCTRICAS EN LA ZONA RURAL DE LOS MUNICIPIOS DE PARATEBUENO Y GUTIeRREZ EN EL DEPARTAMENTO DE CUNDINAMARCA</t>
  </si>
  <si>
    <t>El pago de contrato quedo en cuentas por pagar, no se ha iniciado la liquidación, PAGOS</t>
  </si>
  <si>
    <t>Walteros</t>
  </si>
  <si>
    <t>Ximena</t>
  </si>
  <si>
    <t>General</t>
  </si>
  <si>
    <t>ESTUDIOS Y DISEÑOS PARA LA RECUPERACIÓN Y ADECUACIoN DEL PATRIMONIO HISToRICO CULTURAL PALACIO DE SAN FRANCISCO EN BOGOTa D.C. DEPARTAMENTO DE CUNDINAMARCA</t>
  </si>
  <si>
    <t>Faltan actas de liquidacion de algunos mpios y acta de liquidación del supervisor del  convenio SE DEMORA</t>
  </si>
  <si>
    <t>Alexillo</t>
  </si>
  <si>
    <t>FORTALECIMIENTO DE LA PERMANENCIA DE LOS ESTUDIANTES EN LOS MUNICIPIOS DEL DEPARTAMENTO DE CUNDINAMARCA, CENTRO ORIENTE 2018  CUNDINAMARCA</t>
  </si>
  <si>
    <t xml:space="preserve">Se realizó borrador de resolución y esta revisión. Acta de liquidación pendiente
</t>
  </si>
  <si>
    <t>Natalia Velazquez</t>
  </si>
  <si>
    <t>Competitividad</t>
  </si>
  <si>
    <t>DESARROLLO CREACION Y FORTALECIMIENTO DE NUEVE (9) CENTROS DE EMPREDIMIENTO Y FORTALECIMIENTO EMPRESARIAL EN EL DEPARTAMENTO DE CUNDINAMARCA</t>
  </si>
  <si>
    <t>Se realizo validación de Cierre en Gesproy.
Se esta brindando acompañamiento el la elaboración de la resolución. 
Pendientes  INCONSISTENCIA GESPROY no ha permitido cerrarlo en la plataforma</t>
  </si>
  <si>
    <t>Dayana</t>
  </si>
  <si>
    <t>Eduardo Ordoñez</t>
  </si>
  <si>
    <t>Gobierno</t>
  </si>
  <si>
    <t>CONSTRUCCIÓN DE UN CENTRO DE ATENCIoN ESPECIALIZADA AL SERVICIO DE ADOLESCENTES INFRACTORES DE LA LEY PENAL EN EL DEPARTAMENTO DE CUNDINAMARCA</t>
  </si>
  <si>
    <t>ESTADO</t>
  </si>
  <si>
    <t>OBSERVACIÓN</t>
  </si>
  <si>
    <t>Recursos no ejecutados</t>
  </si>
  <si>
    <t>Responsable DGI</t>
  </si>
  <si>
    <t>Responsable entidad</t>
  </si>
  <si>
    <t>Entidad</t>
  </si>
  <si>
    <t>Nombre</t>
  </si>
  <si>
    <t>PROYECTOS A CERRAR EN TRAMITE  2021</t>
  </si>
  <si>
    <t>PROYECTOS PARA CIERRE EN TRAMITE  2021</t>
  </si>
  <si>
    <t>051</t>
  </si>
  <si>
    <t>Cerrado</t>
  </si>
  <si>
    <t>Dayana hizo la Resolución y se envio a la Unidad para tramitar firmas</t>
  </si>
  <si>
    <t>Dayana Juan k</t>
  </si>
  <si>
    <t>Yeison</t>
  </si>
  <si>
    <t>Unidad de Gestión del Riesgo</t>
  </si>
  <si>
    <t>ADQUISICIÓN DE ELEMENTOS DE PROTECCIÓN DE CONTAGIO DEL VIRUS COVID-19 PARA LOS CUERPOS OPERATIVOS DE EMERGENCIA, EN ATENCIÓN DE LA CALAMIDAD SANITARIA EN EL DEPARTAMENTO DE   CUNDINAMARCA</t>
  </si>
  <si>
    <t>079</t>
  </si>
  <si>
    <t>Se realizo validación de Cierre en Gesproy, 
Se revisó la resolucion por parte del dr Rusvel. Solo falta 2 soportes de decretos de incorporación</t>
  </si>
  <si>
    <t xml:space="preserve">Luis Manuel </t>
  </si>
  <si>
    <t>Ciencia Tecnogia e Innovación</t>
  </si>
  <si>
    <t>INVESTIGACIÓN ESTRATEGIAS DE VALORACIoN Y APROPIACIoN DE LOS RECURSOS NATURALES MECANISMOS DE ADAPTACIoN A CAMBIO CLIMATICO. REGIoN DEL BAJO MAGDALENA</t>
  </si>
  <si>
    <t>046</t>
  </si>
  <si>
    <t>Proyecto Cerrado</t>
  </si>
  <si>
    <t>Maria Paula</t>
  </si>
  <si>
    <t>045</t>
  </si>
  <si>
    <t>Se realizó cargue de beneficiarios, sostenibilidad e interventoria en GESPROY</t>
  </si>
  <si>
    <t>FORTALECIMIENTO DEL SUBSECTOR PANELERO EN EL DEPARTAMENTO DE CUNDINAMARCA</t>
  </si>
  <si>
    <t>044</t>
  </si>
  <si>
    <t>FORTALECIMIENTO DE LA ACTIVIDAD CAFETERA COMO ESTRATEGIA DE MEJORAMIENTO DE LA PRODUCTIVIDAD Y  LA COMPETITIVIDAD EN EL DEPARTAMENTO DE CUNDINAMARCA, CENTRO ORIENTE</t>
  </si>
  <si>
    <t>028</t>
  </si>
  <si>
    <t>Se realizó revisión por parte de la DGI</t>
  </si>
  <si>
    <t>Fortalecimiento a la estrategia de alimentación Escolar para Municipios no certificados, Vigencia 2019 del Departamento de   Cundinamarca</t>
  </si>
  <si>
    <t>027</t>
  </si>
  <si>
    <t>FORTALECIMIENTO A LA ESTRATEGIA DE ALIMENTACIÓN ESCOLAR PARA MUNICIPIOS NO CERTIFICADOS DEL DEPARTAMENTO DE  CUNDINAMARCA</t>
  </si>
  <si>
    <t>026</t>
  </si>
  <si>
    <t>016</t>
  </si>
  <si>
    <t>Implementación Y MASIFICACIoN DEL SERVICIO DE GAS COMBUSTIBLE POR REDES PARA MUNICIPIOS DE ANOLAIMA, CACHIPAY, CHOACHI, FOMEQUE, UBAQUE Y VIOTA CUNDINAMARCA</t>
  </si>
  <si>
    <t>017</t>
  </si>
  <si>
    <t xml:space="preserve">Se realizó revisión por parte de la DGI. Juridica ajuste </t>
  </si>
  <si>
    <t>INVESTIGACIÓN E INNOVACIoN TECNOLoGICA Y APROPIACIoN SOCIAL DE CONOCIMIENTO CIENTiFICO DE ORQUiDEAS NATIVAS DE CUNDINAMARCA</t>
  </si>
  <si>
    <t>064</t>
  </si>
  <si>
    <t>Validad si se realizó el reintegro</t>
  </si>
  <si>
    <t>Juan Felipe</t>
  </si>
  <si>
    <t>Salud</t>
  </si>
  <si>
    <t>067</t>
  </si>
  <si>
    <t>Yadira</t>
  </si>
  <si>
    <t>Ambiente</t>
  </si>
  <si>
    <t>FORTALECIMIENTO DE LA GESTION INTEGRAL DE RESIDUOS SOLIDOS, A TRAVES DE SISTEMAS RECIONALES EN LAS PROVINCIAS DE UBATE Y RIONEGRO EN EL DEPARTAMENTO DE CUNDINAMARCA</t>
  </si>
  <si>
    <t>063</t>
  </si>
  <si>
    <t>No fue posible visualizarla el Gesproy</t>
  </si>
  <si>
    <t xml:space="preserve">Jose Jainer </t>
  </si>
  <si>
    <t>FORTALECIMIENTO DE LA COMPETITIVIDAD DEL SECTOR FLORICULTOR COLOMBIANO MEDIANTE EL USO DE CIENCIA, TECNOLOGA E INNOVACIoN APLICADAS EN EL DEPARTAMENTO DE CUNDINAMARCA</t>
  </si>
  <si>
    <t>SALDOS NO EJECUTADOS DEL PROYECTO A LIBERAR</t>
  </si>
  <si>
    <t xml:space="preserve">FECHA </t>
  </si>
  <si>
    <t>RESOLUCIÓN DE CIERRE</t>
  </si>
  <si>
    <t>PROYECTOS CERRADOS</t>
  </si>
  <si>
    <t>INFORME CIERRES CON CORTE septiembre 2021</t>
  </si>
  <si>
    <t>TOTAL H+I</t>
  </si>
  <si>
    <t>LIBERACIONES x ASIGNAR BIENIO 2023-2024</t>
  </si>
  <si>
    <t>SALDO INICIAL  2021-2022</t>
  </si>
  <si>
    <t xml:space="preserve"> Mejoramiento vivienda rural mediante construcción de cocinas habitaciones y pisos en los municipios de Cundinamarca</t>
  </si>
  <si>
    <t xml:space="preserve">VIA SAN CAYETANO - COGUA </t>
  </si>
  <si>
    <t xml:space="preserve">
FORTALECIMIENTO DE LOS SISTEMAS PRODUCTIVOS A TRAVÉS DE LA REACTIVACIÓN DEL SECTOR AGRÍCOLA EN EL DEPARTAMENTO DE CUNDINAMARCA
</t>
  </si>
  <si>
    <t>FORTALECIMIENTO DE SISTEMAS PRODUCTIVOS A TRAVÉS DE MODELOS AGROFORESTALES DE CACAO EN EL DEPARTAMENTO DE CUNDINAMARCA</t>
  </si>
  <si>
    <t xml:space="preserve">FECHA DE APROBACIÓN </t>
  </si>
  <si>
    <t xml:space="preserve">FECHA LIMITE </t>
  </si>
  <si>
    <t>PROYECTOS APROBADOS 2022</t>
  </si>
  <si>
    <t>TOTAL APROBADO 2021</t>
  </si>
  <si>
    <t>TOTAL APROBADO 2022</t>
  </si>
  <si>
    <t>PROYECTOS APROBADOS 2021</t>
  </si>
  <si>
    <t>FORTALECIMIENTO A LA ESTRATEGIA DE SUBSIDIO DE TRANSPORTE ESCOLAR, EN MUNICIPIOS NO CERTIFICADOS DEL DEPARTAMENTO DE CUNDINAMARCA, PARA LA VIGENCIA 2022</t>
  </si>
  <si>
    <t>SALDO DISPONIBLE APROBACION DE PROYECTOS</t>
  </si>
  <si>
    <t>IMPLEMENTACIÓN DE UNA ESTRATEGIA DE REACTIVACIÓN ECONÓMICA PARA EL PROGRESO Y LA COMPETITIVIDAD DE MICRONEGOCIOS Y UNIDADES PRODUCTIVAS EN EL DEPARTAMENTO DE CUNDINAMARCA</t>
  </si>
  <si>
    <t>ASIG DIRECTAS + DECRETO PRESIDENCIAL</t>
  </si>
  <si>
    <t>DECRETO 033 DE 2022</t>
  </si>
  <si>
    <t>AMPLIACION DE LA COBERTURA DEL SERVICIO DE GAS COMBUTIBLE POR REDES A TRAVES DE LA FINANCIACIÓN DEL CARGO POR 
CONEXIÓN Y LA RED INTERNA PARA USUARIOS DE BARRIOS PERIFÉRICOS, VEREDAS Y CENTROS POBLADOS DE LOS MUNICIPIOS DE CUNDINAMARCA</t>
  </si>
  <si>
    <t>FORTALECIMIENTO A LA ESTRATEGIA DE ALIMENTACIÓN ESCOLAR EN LOS MUNICIPIOS NO CERTIFICADOS DEL DEPARTAMENTO DE CUNDINAMARCA PARA LA VIGENCIA 2022 CUNDINAMARCA</t>
  </si>
  <si>
    <t xml:space="preserve">2022004250011
</t>
  </si>
  <si>
    <t xml:space="preserve"> SIN RESTRICCION DEL 10%  64.399.390.451</t>
  </si>
  <si>
    <t>VALOR TOTAL DE INICIATIVAS</t>
  </si>
  <si>
    <t xml:space="preserve">Fortalecimiento sector lechero </t>
  </si>
  <si>
    <t>AGENCIA</t>
  </si>
  <si>
    <t>Conservacion de papa a traves de almacenamiento refrigerado</t>
  </si>
  <si>
    <t>Demarcación del circuito de ciclo rutas en municipios del departamento de Cundinamarca</t>
  </si>
  <si>
    <t>Mejoramiento de la productividad de la ganadería de carne y leche para el fortalecimiento productivo de las provincias de rionegro, medina y bajo magdalena del departamento de Cundinamarca</t>
  </si>
  <si>
    <t>Fortalecimiento automotor para el sector agricola (Camiones de recolección y distribución de productos agricolas)</t>
  </si>
  <si>
    <t>Mejoramiento de la Vía que conduce, desde el municipio de Gutierrez a los municipios de Fosca y Une</t>
  </si>
  <si>
    <t>GUTIERREZ</t>
  </si>
  <si>
    <t>Proyectos Educación Superior - Obligación de Ley-</t>
  </si>
  <si>
    <t>Proyectos productivos Etnicos - Obligación de Ley-</t>
  </si>
  <si>
    <t>INCLUSIÓN</t>
  </si>
  <si>
    <t>Mejoramiento de Vias terciarias en el Municipio de Fusagasuga</t>
  </si>
  <si>
    <t>FUSAGASUGA</t>
  </si>
  <si>
    <t>Proyecto de Silvania "Construcción del centro de desarrollo del emprenidimiento para la provincia de SUMAPAZ"</t>
  </si>
  <si>
    <t>SILVANIA</t>
  </si>
  <si>
    <t>Fortalecimiento de la Producción Licorera en el Departamento de Cundinamarca</t>
  </si>
  <si>
    <t>LICORERA</t>
  </si>
  <si>
    <t>Mejoramiento en la Producción agropecuaria en la Provincia de SUMAPAZ por medio de alternativas amigables con el medio ambiente</t>
  </si>
  <si>
    <t>CTeI</t>
  </si>
  <si>
    <t>Fortalecimiento de los sistemas productivos Agrícolas a través del establecimiento  de cultivos de limón Tahití y aguacate has en el departamento de Cundinamarca</t>
  </si>
  <si>
    <t xml:space="preserve">Fortalecimiento para el mejoramiento del sector agropecuario del Dpto (Maquinaria: Motocultor, Arados, Rotovator, remolque, caballenador de discos, fumigadoras estacionarias. Producción de Fertilizantes. Asistencias Técnicas) </t>
  </si>
  <si>
    <t>Instalación de redes de gas del departamento de Cundinamarca</t>
  </si>
  <si>
    <t>MINAS</t>
  </si>
  <si>
    <t>Fortalecimiento a la estrategia de  transporte para el año 2023 en los municipios del departamento de Cundinamarca</t>
  </si>
  <si>
    <t>Fortalecimiento a la estrategia de alimentación escolar para el año 2023 en los municipios del departamento de Cundinamarca</t>
  </si>
  <si>
    <t>Inflexibilidad EPC-PDA 2023</t>
  </si>
  <si>
    <t>SALDO INICIAL (Pendiente de confirmar con Expedición de Ley)</t>
  </si>
  <si>
    <t>ENTIDAD RESPONSABLE</t>
  </si>
  <si>
    <t>LIBERACION DE RECURSOS ? 40 Aprox.</t>
  </si>
  <si>
    <t>FDR CAMBIO CLIMATICO= ?</t>
  </si>
  <si>
    <t>ASIGNACIONES DIRECTAS = 2.600.000.000</t>
  </si>
  <si>
    <t>ASIGNACION INVERSION REGIONAL 60% = 84.000.000.000</t>
  </si>
  <si>
    <t>LISTADO GENERAL: INICIATIVAS 2023</t>
  </si>
  <si>
    <t xml:space="preserve">ASIGNACION INVERSION REGIONAL 60% </t>
  </si>
  <si>
    <t xml:space="preserve">FDR40% y  FCR 60% </t>
  </si>
  <si>
    <t xml:space="preserve">DECRETO PRESIDENCIAL </t>
  </si>
  <si>
    <t>TOTAL APROBADO 2021- 2022</t>
  </si>
  <si>
    <t>INICIATIVAS EN FORMULACIÓN 2022</t>
  </si>
  <si>
    <t>VIA SAN CAYETANO - COGUA</t>
  </si>
  <si>
    <t>GOBERNACIÓN DE CUNDINAMARCA</t>
  </si>
  <si>
    <t>DECRETO 150 DEL 26 DE MAYO DE 2022</t>
  </si>
  <si>
    <t>ACUERDO 07 DEL 19 DE MAYO DE 2022</t>
  </si>
  <si>
    <t>DECRETO 184 DEL 10 DE JUNIO DE 2022</t>
  </si>
  <si>
    <t>Fuente: Dirección de Gestión de la Inversión - Secretaría de Planeación</t>
  </si>
  <si>
    <t>Fecha de corte: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</si>
</sst>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.00;\-&quot;$&quot;#,##0.0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-* #,##0.00\ _€_-;\-* #,##0.00\ _€_-;_-* &quot;-&quot;??\ _€_-;_-@_-"/>
    <numFmt numFmtId="168" formatCode="&quot;$&quot;\ #,##0_);[Red]\(&quot;$&quot;\ #,##0\)"/>
    <numFmt numFmtId="169" formatCode="&quot;$&quot;\ #,##0.00_);[Red]\(&quot;$&quot;\ #,##0.00\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_(&quot;$&quot;\ * #,##0.00000_);_(&quot;$&quot;\ * \(#,##0.00000\);_(&quot;$&quot;\ * &quot;-&quot;??_);_(@_)"/>
    <numFmt numFmtId="174" formatCode="_-[$$-240A]\ * #,##0_ ;_-[$$-240A]\ * \-#,##0\ ;_-[$$-240A]\ * &quot;-&quot;_ ;_-@_ "/>
    <numFmt numFmtId="175" formatCode="&quot;$&quot;\ #,##0.00"/>
    <numFmt numFmtId="176" formatCode="&quot;$&quot;\ #,##0"/>
    <numFmt numFmtId="177" formatCode="_(* #,##0_);_(* \(#,##0\);_(* &quot;-&quot;??_);_(@_)"/>
    <numFmt numFmtId="178" formatCode="_-* #,##0\ _€_-;\-* #,##0\ _€_-;_-* &quot;-&quot;??\ _€_-;_-@_-"/>
    <numFmt numFmtId="179" formatCode="[$-10409]#,##0;\-#,##0"/>
    <numFmt numFmtId="180" formatCode="_(* #,##0_);_(* \(#,##0\);_(* &quot;-&quot;_);_(@_)"/>
    <numFmt numFmtId="181" formatCode="#,##0.00\ &quot;€&quot;"/>
    <numFmt numFmtId="182" formatCode="_-* #,##0.00_-;\-* #,##0.00_-;_-* &quot;-&quot;_-;_-@_-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"/>
    </font>
    <font>
      <sz val="12"/>
      <color rgb="FFFF0000"/>
      <name val="Arial "/>
    </font>
    <font>
      <b/>
      <sz val="12"/>
      <color rgb="FF000000"/>
      <name val="Arial "/>
    </font>
    <font>
      <b/>
      <sz val="14"/>
      <color theme="1"/>
      <name val="Arial "/>
    </font>
    <font>
      <sz val="12"/>
      <name val="Arial "/>
    </font>
    <font>
      <sz val="14"/>
      <name val="Arial "/>
    </font>
    <font>
      <sz val="14"/>
      <color theme="1"/>
      <name val="Arial "/>
    </font>
    <font>
      <sz val="14"/>
      <color rgb="FF000000"/>
      <name val="Arial "/>
    </font>
    <font>
      <b/>
      <sz val="12"/>
      <color theme="1"/>
      <name val="Arial "/>
    </font>
    <font>
      <sz val="12"/>
      <color rgb="FF000000"/>
      <name val="Arial "/>
    </font>
    <font>
      <b/>
      <sz val="14"/>
      <color rgb="FFFFFFFF"/>
      <name val="Arial "/>
    </font>
    <font>
      <b/>
      <sz val="14"/>
      <name val="Arial "/>
    </font>
    <font>
      <b/>
      <sz val="14"/>
      <color rgb="FF000000"/>
      <name val="Arial "/>
    </font>
    <font>
      <b/>
      <sz val="18"/>
      <color theme="1"/>
      <name val="Arial 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Arial 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20"/>
      <color theme="1"/>
      <name val="Arial 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 "/>
    </font>
    <font>
      <b/>
      <sz val="20"/>
      <color rgb="FFFFFFFF"/>
      <name val="Arial "/>
    </font>
    <font>
      <sz val="14"/>
      <color rgb="FFFF0000"/>
      <name val="Arial "/>
    </font>
    <font>
      <sz val="9"/>
      <color theme="1"/>
      <name val="Calibri"/>
      <family val="2"/>
      <scheme val="minor"/>
    </font>
    <font>
      <sz val="9"/>
      <color rgb="FF000000"/>
      <name val="Arial 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36"/>
      <color theme="1"/>
      <name val="Arial "/>
    </font>
    <font>
      <sz val="10"/>
      <color theme="1"/>
      <name val="Arial "/>
    </font>
    <font>
      <b/>
      <sz val="11"/>
      <color theme="5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"/>
      <name val="Arial "/>
    </font>
    <font>
      <sz val="9"/>
      <color theme="1"/>
      <name val="Arial "/>
    </font>
    <font>
      <sz val="10"/>
      <name val="Arial "/>
    </font>
    <font>
      <sz val="10"/>
      <color theme="1"/>
      <name val="Calibri"/>
      <family val="2"/>
      <scheme val="minor"/>
    </font>
    <font>
      <b/>
      <sz val="10"/>
      <name val="Arial 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20"/>
      <name val="Arial 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name val="Century Gothic"/>
      <family val="2"/>
    </font>
    <font>
      <b/>
      <sz val="11"/>
      <color theme="1"/>
      <name val="Century Gothic"/>
      <family val="2"/>
    </font>
    <font>
      <sz val="10"/>
      <color rgb="FFFF0000"/>
      <name val="Arial"/>
      <family val="2"/>
    </font>
    <font>
      <sz val="9"/>
      <color indexed="8"/>
      <name val="Arial Narrow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12"/>
      <color theme="0"/>
      <name val="Arial "/>
    </font>
    <font>
      <b/>
      <sz val="48"/>
      <color theme="1"/>
      <name val="Arial "/>
    </font>
    <font>
      <sz val="12"/>
      <color theme="0"/>
      <name val="Arial "/>
    </font>
    <font>
      <sz val="8"/>
      <name val="Calibri"/>
      <family val="2"/>
      <scheme val="minor"/>
    </font>
    <font>
      <b/>
      <i/>
      <sz val="24"/>
      <color rgb="FF00206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33F4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rgb="FF000000"/>
      </patternFill>
    </fill>
    <fill>
      <patternFill patternType="solid">
        <fgColor rgb="FFF2F2F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</borders>
  <cellStyleXfs count="12">
    <xf numFmtId="0" fontId="0" fillId="0" borderId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7" fillId="0" borderId="0"/>
    <xf numFmtId="0" fontId="23" fillId="0" borderId="0"/>
    <xf numFmtId="0" fontId="37" fillId="15" borderId="38" applyNumberFormat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7">
    <xf numFmtId="0" fontId="0" fillId="0" borderId="0" xfId="0"/>
    <xf numFmtId="172" fontId="2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" fontId="2" fillId="2" borderId="1" xfId="0" quotePrefix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72" fontId="2" fillId="2" borderId="0" xfId="1" applyNumberFormat="1" applyFont="1" applyFill="1" applyAlignment="1">
      <alignment horizontal="center" vertical="center" wrapText="1"/>
    </xf>
    <xf numFmtId="172" fontId="2" fillId="2" borderId="0" xfId="0" applyNumberFormat="1" applyFont="1" applyFill="1" applyAlignment="1">
      <alignment horizontal="center" vertical="center"/>
    </xf>
    <xf numFmtId="168" fontId="4" fillId="2" borderId="0" xfId="0" applyNumberFormat="1" applyFont="1" applyFill="1" applyAlignment="1">
      <alignment horizontal="center" vertical="center"/>
    </xf>
    <xf numFmtId="172" fontId="2" fillId="2" borderId="0" xfId="1" applyNumberFormat="1" applyFont="1" applyFill="1" applyAlignment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72" fontId="5" fillId="3" borderId="1" xfId="1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72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72" fontId="5" fillId="3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72" fontId="5" fillId="2" borderId="0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horizontal="center" vertical="center"/>
    </xf>
    <xf numFmtId="0" fontId="2" fillId="6" borderId="1" xfId="0" quotePrefix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172" fontId="2" fillId="6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quotePrefix="1" applyNumberFormat="1" applyFont="1" applyFill="1" applyBorder="1" applyAlignment="1">
      <alignment horizontal="center" vertical="center" wrapText="1"/>
    </xf>
    <xf numFmtId="172" fontId="6" fillId="2" borderId="1" xfId="1" applyNumberFormat="1" applyFont="1" applyFill="1" applyBorder="1" applyAlignment="1">
      <alignment horizontal="center" vertical="center" wrapText="1"/>
    </xf>
    <xf numFmtId="173" fontId="6" fillId="2" borderId="1" xfId="1" applyNumberFormat="1" applyFont="1" applyFill="1" applyBorder="1" applyAlignment="1">
      <alignment horizontal="center" vertical="center" wrapText="1"/>
    </xf>
    <xf numFmtId="172" fontId="10" fillId="3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1" fontId="6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/>
    <xf numFmtId="176" fontId="6" fillId="2" borderId="1" xfId="3" applyNumberFormat="1" applyFont="1" applyFill="1" applyBorder="1" applyAlignment="1">
      <alignment horizontal="center" vertical="center" wrapText="1"/>
    </xf>
    <xf numFmtId="175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176" fontId="2" fillId="2" borderId="1" xfId="0" applyNumberFormat="1" applyFont="1" applyFill="1" applyBorder="1"/>
    <xf numFmtId="175" fontId="2" fillId="2" borderId="1" xfId="0" applyNumberFormat="1" applyFont="1" applyFill="1" applyBorder="1" applyAlignment="1">
      <alignment horizontal="center" vertical="center" wrapText="1"/>
    </xf>
    <xf numFmtId="170" fontId="2" fillId="2" borderId="1" xfId="1" applyFont="1" applyFill="1" applyBorder="1"/>
    <xf numFmtId="170" fontId="6" fillId="2" borderId="1" xfId="1" applyFont="1" applyFill="1" applyBorder="1" applyAlignment="1">
      <alignment horizontal="center" vertical="center" wrapText="1"/>
    </xf>
    <xf numFmtId="170" fontId="2" fillId="2" borderId="1" xfId="1" applyFont="1" applyFill="1" applyBorder="1" applyAlignment="1">
      <alignment horizontal="center" vertical="center" wrapText="1"/>
    </xf>
    <xf numFmtId="170" fontId="2" fillId="2" borderId="1" xfId="1" applyFont="1" applyFill="1" applyBorder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170" fontId="2" fillId="0" borderId="1" xfId="0" applyNumberFormat="1" applyFont="1" applyBorder="1"/>
    <xf numFmtId="0" fontId="10" fillId="3" borderId="1" xfId="0" applyFont="1" applyFill="1" applyBorder="1"/>
    <xf numFmtId="174" fontId="12" fillId="4" borderId="4" xfId="3" applyNumberFormat="1" applyFont="1" applyFill="1" applyBorder="1" applyAlignment="1">
      <alignment horizontal="center" vertical="center" wrapText="1"/>
    </xf>
    <xf numFmtId="174" fontId="12" fillId="4" borderId="7" xfId="3" applyNumberFormat="1" applyFont="1" applyFill="1" applyBorder="1" applyAlignment="1">
      <alignment horizontal="center" vertical="center" wrapText="1"/>
    </xf>
    <xf numFmtId="174" fontId="12" fillId="4" borderId="8" xfId="3" applyNumberFormat="1" applyFont="1" applyFill="1" applyBorder="1" applyAlignment="1">
      <alignment horizontal="center" vertical="center" wrapText="1"/>
    </xf>
    <xf numFmtId="174" fontId="12" fillId="4" borderId="9" xfId="3" applyNumberFormat="1" applyFont="1" applyFill="1" applyBorder="1" applyAlignment="1">
      <alignment horizontal="center" vertical="center" wrapText="1"/>
    </xf>
    <xf numFmtId="174" fontId="12" fillId="4" borderId="1" xfId="3" applyNumberFormat="1" applyFont="1" applyFill="1" applyBorder="1" applyAlignment="1">
      <alignment horizontal="center" vertical="center" wrapText="1"/>
    </xf>
    <xf numFmtId="174" fontId="12" fillId="4" borderId="10" xfId="3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/>
    </xf>
    <xf numFmtId="171" fontId="12" fillId="4" borderId="2" xfId="2" applyFont="1" applyFill="1" applyBorder="1" applyAlignment="1">
      <alignment horizontal="center" vertical="center" wrapText="1"/>
    </xf>
    <xf numFmtId="170" fontId="9" fillId="0" borderId="1" xfId="2" applyNumberFormat="1" applyFont="1" applyFill="1" applyBorder="1" applyAlignment="1">
      <alignment horizontal="right" vertical="center"/>
    </xf>
    <xf numFmtId="170" fontId="8" fillId="0" borderId="1" xfId="1" applyNumberFormat="1" applyFont="1" applyBorder="1" applyAlignment="1">
      <alignment horizontal="right" vertical="center"/>
    </xf>
    <xf numFmtId="170" fontId="7" fillId="5" borderId="1" xfId="2" applyNumberFormat="1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center" vertical="center" wrapText="1"/>
    </xf>
    <xf numFmtId="170" fontId="8" fillId="2" borderId="1" xfId="0" applyNumberFormat="1" applyFont="1" applyFill="1" applyBorder="1" applyAlignment="1">
      <alignment horizontal="right" vertical="center"/>
    </xf>
    <xf numFmtId="170" fontId="8" fillId="0" borderId="1" xfId="0" applyNumberFormat="1" applyFont="1" applyFill="1" applyBorder="1" applyAlignment="1">
      <alignment horizontal="right" vertical="center"/>
    </xf>
    <xf numFmtId="170" fontId="7" fillId="2" borderId="1" xfId="2" applyNumberFormat="1" applyFont="1" applyFill="1" applyBorder="1" applyAlignment="1">
      <alignment horizontal="right" vertical="center"/>
    </xf>
    <xf numFmtId="170" fontId="9" fillId="0" borderId="1" xfId="0" applyNumberFormat="1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/>
    <xf numFmtId="170" fontId="7" fillId="0" borderId="1" xfId="3" applyNumberFormat="1" applyFont="1" applyFill="1" applyBorder="1" applyAlignment="1">
      <alignment vertical="center" wrapText="1"/>
    </xf>
    <xf numFmtId="170" fontId="9" fillId="2" borderId="1" xfId="0" applyNumberFormat="1" applyFont="1" applyFill="1" applyBorder="1" applyAlignment="1">
      <alignment horizontal="right" vertical="center"/>
    </xf>
    <xf numFmtId="170" fontId="9" fillId="2" borderId="1" xfId="0" applyNumberFormat="1" applyFont="1" applyFill="1" applyBorder="1" applyAlignment="1">
      <alignment vertical="center"/>
    </xf>
    <xf numFmtId="0" fontId="8" fillId="0" borderId="0" xfId="0" applyFont="1"/>
    <xf numFmtId="170" fontId="8" fillId="0" borderId="0" xfId="0" applyNumberFormat="1" applyFont="1"/>
    <xf numFmtId="170" fontId="8" fillId="0" borderId="1" xfId="0" applyNumberFormat="1" applyFont="1" applyBorder="1"/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15" fillId="7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quotePrefix="1" applyNumberFormat="1" applyFont="1" applyFill="1" applyBorder="1" applyAlignment="1">
      <alignment horizontal="center" vertical="center" wrapText="1"/>
    </xf>
    <xf numFmtId="175" fontId="10" fillId="3" borderId="1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9" fontId="8" fillId="0" borderId="0" xfId="0" applyNumberFormat="1" applyFont="1"/>
    <xf numFmtId="177" fontId="8" fillId="0" borderId="0" xfId="2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center" vertical="center" wrapText="1"/>
    </xf>
    <xf numFmtId="170" fontId="6" fillId="8" borderId="1" xfId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176" fontId="6" fillId="8" borderId="1" xfId="3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172" fontId="2" fillId="10" borderId="1" xfId="1" applyNumberFormat="1" applyFont="1" applyFill="1" applyBorder="1" applyAlignment="1">
      <alignment horizontal="center" vertical="center" wrapText="1"/>
    </xf>
    <xf numFmtId="1" fontId="2" fillId="10" borderId="1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167" fontId="8" fillId="0" borderId="0" xfId="0" applyNumberFormat="1" applyFont="1"/>
    <xf numFmtId="0" fontId="0" fillId="2" borderId="1" xfId="0" applyFill="1" applyBorder="1" applyAlignment="1">
      <alignment horizontal="center" vertical="center"/>
    </xf>
    <xf numFmtId="14" fontId="18" fillId="2" borderId="1" xfId="4" applyNumberFormat="1" applyFont="1" applyFill="1" applyBorder="1" applyAlignment="1">
      <alignment horizontal="center" vertical="center" wrapText="1"/>
    </xf>
    <xf numFmtId="1" fontId="18" fillId="2" borderId="1" xfId="4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70" fontId="2" fillId="8" borderId="1" xfId="1" applyFont="1" applyFill="1" applyBorder="1" applyAlignment="1">
      <alignment horizontal="center" vertical="center"/>
    </xf>
    <xf numFmtId="176" fontId="2" fillId="8" borderId="1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8" fillId="2" borderId="1" xfId="4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3" fontId="0" fillId="2" borderId="14" xfId="0" applyNumberFormat="1" applyFill="1" applyBorder="1" applyAlignment="1">
      <alignment vertical="center"/>
    </xf>
    <xf numFmtId="3" fontId="18" fillId="2" borderId="1" xfId="4" applyNumberFormat="1" applyFont="1" applyFill="1" applyBorder="1" applyAlignment="1">
      <alignment vertical="center" wrapText="1"/>
    </xf>
    <xf numFmtId="3" fontId="0" fillId="2" borderId="1" xfId="2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10" fillId="11" borderId="16" xfId="0" applyNumberFormat="1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0" fontId="14" fillId="8" borderId="1" xfId="0" applyNumberFormat="1" applyFont="1" applyFill="1" applyBorder="1" applyAlignment="1">
      <alignment horizontal="right" vertical="center"/>
    </xf>
    <xf numFmtId="170" fontId="13" fillId="8" borderId="1" xfId="0" applyNumberFormat="1" applyFont="1" applyFill="1" applyBorder="1" applyAlignment="1">
      <alignment horizontal="right" vertical="center"/>
    </xf>
    <xf numFmtId="0" fontId="16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4" fontId="18" fillId="2" borderId="18" xfId="4" applyNumberFormat="1" applyFont="1" applyFill="1" applyBorder="1" applyAlignment="1">
      <alignment horizontal="center" vertical="center" wrapText="1"/>
    </xf>
    <xf numFmtId="1" fontId="18" fillId="2" borderId="18" xfId="4" applyNumberFormat="1" applyFont="1" applyFill="1" applyBorder="1" applyAlignment="1">
      <alignment horizontal="center" vertical="center" wrapText="1"/>
    </xf>
    <xf numFmtId="0" fontId="18" fillId="2" borderId="18" xfId="4" applyFont="1" applyFill="1" applyBorder="1" applyAlignment="1">
      <alignment vertical="center" wrapText="1"/>
    </xf>
    <xf numFmtId="3" fontId="18" fillId="2" borderId="18" xfId="4" applyNumberFormat="1" applyFont="1" applyFill="1" applyBorder="1" applyAlignment="1">
      <alignment vertical="center" wrapText="1"/>
    </xf>
    <xf numFmtId="3" fontId="0" fillId="2" borderId="18" xfId="2" applyNumberFormat="1" applyFont="1" applyFill="1" applyBorder="1" applyAlignment="1">
      <alignment vertical="center"/>
    </xf>
    <xf numFmtId="3" fontId="0" fillId="2" borderId="19" xfId="0" applyNumberFormat="1" applyFill="1" applyBorder="1" applyAlignment="1">
      <alignment vertical="center"/>
    </xf>
    <xf numFmtId="0" fontId="22" fillId="12" borderId="12" xfId="0" applyFont="1" applyFill="1" applyBorder="1" applyAlignment="1">
      <alignment horizontal="center" vertical="center"/>
    </xf>
    <xf numFmtId="178" fontId="22" fillId="12" borderId="12" xfId="2" applyNumberFormat="1" applyFont="1" applyFill="1" applyBorder="1" applyAlignment="1">
      <alignment horizontal="center" vertical="center"/>
    </xf>
    <xf numFmtId="178" fontId="22" fillId="12" borderId="12" xfId="2" applyNumberFormat="1" applyFont="1" applyFill="1" applyBorder="1" applyAlignment="1">
      <alignment horizontal="center" vertical="center" wrapText="1"/>
    </xf>
    <xf numFmtId="179" fontId="8" fillId="0" borderId="0" xfId="0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4" fontId="18" fillId="2" borderId="20" xfId="4" applyNumberFormat="1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center" vertical="center"/>
    </xf>
    <xf numFmtId="14" fontId="18" fillId="2" borderId="10" xfId="4" applyNumberFormat="1" applyFont="1" applyFill="1" applyBorder="1" applyAlignment="1">
      <alignment horizontal="center" vertical="center" wrapText="1"/>
    </xf>
    <xf numFmtId="3" fontId="18" fillId="2" borderId="10" xfId="4" applyNumberFormat="1" applyFont="1" applyFill="1" applyBorder="1" applyAlignment="1">
      <alignment vertical="center" wrapText="1"/>
    </xf>
    <xf numFmtId="4" fontId="18" fillId="2" borderId="1" xfId="4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Border="1" applyAlignment="1">
      <alignment horizontal="right" vertical="center"/>
    </xf>
    <xf numFmtId="4" fontId="18" fillId="2" borderId="10" xfId="4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8" fillId="0" borderId="0" xfId="0" applyNumberFormat="1" applyFont="1"/>
    <xf numFmtId="177" fontId="8" fillId="0" borderId="0" xfId="2" applyNumberFormat="1" applyFont="1" applyAlignment="1">
      <alignment vertical="center" wrapText="1"/>
    </xf>
    <xf numFmtId="5" fontId="8" fillId="0" borderId="0" xfId="0" applyNumberFormat="1" applyFont="1"/>
    <xf numFmtId="164" fontId="8" fillId="0" borderId="0" xfId="0" applyNumberFormat="1" applyFont="1"/>
    <xf numFmtId="177" fontId="8" fillId="0" borderId="0" xfId="2" applyNumberFormat="1" applyFont="1" applyAlignment="1">
      <alignment vertical="center"/>
    </xf>
    <xf numFmtId="170" fontId="9" fillId="2" borderId="22" xfId="0" applyNumberFormat="1" applyFont="1" applyFill="1" applyBorder="1" applyAlignment="1">
      <alignment horizontal="right" vertical="center"/>
    </xf>
    <xf numFmtId="170" fontId="9" fillId="2" borderId="23" xfId="0" applyNumberFormat="1" applyFont="1" applyFill="1" applyBorder="1" applyAlignment="1">
      <alignment horizontal="right" vertical="center"/>
    </xf>
    <xf numFmtId="177" fontId="5" fillId="7" borderId="21" xfId="2" applyNumberFormat="1" applyFont="1" applyFill="1" applyBorder="1" applyAlignment="1">
      <alignment vertical="center" wrapText="1"/>
    </xf>
    <xf numFmtId="177" fontId="5" fillId="7" borderId="15" xfId="2" applyNumberFormat="1" applyFont="1" applyFill="1" applyBorder="1" applyAlignment="1">
      <alignment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3" fontId="28" fillId="0" borderId="1" xfId="0" applyNumberFormat="1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right" vertical="center" wrapText="1"/>
    </xf>
    <xf numFmtId="3" fontId="28" fillId="0" borderId="1" xfId="0" applyNumberFormat="1" applyFont="1" applyBorder="1" applyAlignment="1">
      <alignment vertical="center"/>
    </xf>
    <xf numFmtId="180" fontId="28" fillId="0" borderId="1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30" fillId="0" borderId="1" xfId="0" applyNumberFormat="1" applyFont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170" fontId="0" fillId="0" borderId="1" xfId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81" fontId="8" fillId="0" borderId="0" xfId="0" applyNumberFormat="1" applyFont="1"/>
    <xf numFmtId="3" fontId="2" fillId="2" borderId="0" xfId="0" applyNumberFormat="1" applyFont="1" applyFill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3" fontId="8" fillId="0" borderId="0" xfId="0" applyNumberFormat="1" applyFont="1"/>
    <xf numFmtId="0" fontId="0" fillId="0" borderId="3" xfId="0" applyFill="1" applyBorder="1" applyAlignment="1">
      <alignment vertical="center" wrapText="1"/>
    </xf>
    <xf numFmtId="178" fontId="0" fillId="2" borderId="20" xfId="2" applyNumberFormat="1" applyFont="1" applyFill="1" applyBorder="1" applyAlignment="1">
      <alignment horizontal="center" vertical="center"/>
    </xf>
    <xf numFmtId="14" fontId="10" fillId="3" borderId="21" xfId="0" applyNumberFormat="1" applyFont="1" applyFill="1" applyBorder="1" applyAlignment="1" applyProtection="1">
      <alignment horizontal="center" vertical="center" wrapText="1"/>
    </xf>
    <xf numFmtId="14" fontId="10" fillId="3" borderId="25" xfId="0" applyNumberFormat="1" applyFont="1" applyFill="1" applyBorder="1" applyAlignment="1" applyProtection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 wrapText="1"/>
    </xf>
    <xf numFmtId="172" fontId="10" fillId="3" borderId="25" xfId="1" applyNumberFormat="1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0" xfId="0" applyFont="1" applyAlignment="1"/>
    <xf numFmtId="0" fontId="10" fillId="0" borderId="0" xfId="0" applyFont="1" applyAlignment="1"/>
    <xf numFmtId="0" fontId="12" fillId="4" borderId="0" xfId="0" applyFont="1" applyFill="1" applyBorder="1" applyAlignment="1">
      <alignment horizontal="center" vertical="center" wrapText="1"/>
    </xf>
    <xf numFmtId="0" fontId="8" fillId="0" borderId="27" xfId="0" applyFont="1" applyBorder="1"/>
    <xf numFmtId="44" fontId="8" fillId="0" borderId="27" xfId="0" applyNumberFormat="1" applyFont="1" applyBorder="1"/>
    <xf numFmtId="177" fontId="5" fillId="7" borderId="27" xfId="0" applyNumberFormat="1" applyFont="1" applyFill="1" applyBorder="1" applyAlignment="1">
      <alignment horizontal="center"/>
    </xf>
    <xf numFmtId="167" fontId="5" fillId="7" borderId="27" xfId="0" applyNumberFormat="1" applyFont="1" applyFill="1" applyBorder="1" applyAlignment="1">
      <alignment horizontal="center"/>
    </xf>
    <xf numFmtId="167" fontId="5" fillId="7" borderId="27" xfId="0" applyNumberFormat="1" applyFont="1" applyFill="1" applyBorder="1"/>
    <xf numFmtId="4" fontId="2" fillId="2" borderId="0" xfId="0" applyNumberFormat="1" applyFont="1" applyFill="1" applyAlignment="1">
      <alignment horizontal="center" vertical="center" wrapText="1"/>
    </xf>
    <xf numFmtId="5" fontId="2" fillId="2" borderId="0" xfId="0" applyNumberFormat="1" applyFont="1" applyFill="1" applyAlignment="1">
      <alignment horizontal="center" vertical="center" wrapText="1"/>
    </xf>
    <xf numFmtId="0" fontId="5" fillId="7" borderId="27" xfId="0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 vertical="center" wrapText="1"/>
    </xf>
    <xf numFmtId="171" fontId="12" fillId="4" borderId="7" xfId="2" applyFont="1" applyFill="1" applyBorder="1" applyAlignment="1">
      <alignment horizontal="center" vertical="center" wrapText="1"/>
    </xf>
    <xf numFmtId="170" fontId="9" fillId="0" borderId="18" xfId="2" applyNumberFormat="1" applyFont="1" applyFill="1" applyBorder="1" applyAlignment="1">
      <alignment horizontal="right" vertical="center"/>
    </xf>
    <xf numFmtId="170" fontId="8" fillId="0" borderId="18" xfId="1" applyNumberFormat="1" applyFont="1" applyBorder="1" applyAlignment="1">
      <alignment horizontal="right" vertical="center"/>
    </xf>
    <xf numFmtId="170" fontId="7" fillId="5" borderId="18" xfId="2" applyNumberFormat="1" applyFont="1" applyFill="1" applyBorder="1" applyAlignment="1">
      <alignment horizontal="right" vertical="center"/>
    </xf>
    <xf numFmtId="170" fontId="8" fillId="0" borderId="18" xfId="0" applyNumberFormat="1" applyFont="1" applyBorder="1"/>
    <xf numFmtId="174" fontId="12" fillId="4" borderId="27" xfId="3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/>
    </xf>
    <xf numFmtId="174" fontId="12" fillId="4" borderId="27" xfId="3" applyNumberFormat="1" applyFont="1" applyFill="1" applyBorder="1" applyAlignment="1">
      <alignment vertical="center" wrapText="1"/>
    </xf>
    <xf numFmtId="167" fontId="8" fillId="0" borderId="10" xfId="0" applyNumberFormat="1" applyFont="1" applyBorder="1" applyAlignment="1">
      <alignment vertical="center" wrapText="1"/>
    </xf>
    <xf numFmtId="167" fontId="8" fillId="0" borderId="18" xfId="0" applyNumberFormat="1" applyFont="1" applyBorder="1" applyAlignment="1">
      <alignment vertical="center" wrapText="1"/>
    </xf>
    <xf numFmtId="177" fontId="8" fillId="0" borderId="0" xfId="0" applyNumberFormat="1" applyFont="1"/>
    <xf numFmtId="5" fontId="8" fillId="0" borderId="0" xfId="2" applyNumberFormat="1" applyFont="1"/>
    <xf numFmtId="0" fontId="8" fillId="2" borderId="28" xfId="0" applyFont="1" applyFill="1" applyBorder="1" applyAlignment="1">
      <alignment horizontal="left"/>
    </xf>
    <xf numFmtId="0" fontId="16" fillId="2" borderId="29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1" fontId="18" fillId="2" borderId="31" xfId="4" applyNumberFormat="1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vertical="center" wrapText="1"/>
    </xf>
    <xf numFmtId="170" fontId="9" fillId="0" borderId="31" xfId="0" applyNumberFormat="1" applyFont="1" applyFill="1" applyBorder="1" applyAlignment="1">
      <alignment vertical="center"/>
    </xf>
    <xf numFmtId="170" fontId="9" fillId="0" borderId="31" xfId="2" applyNumberFormat="1" applyFont="1" applyFill="1" applyBorder="1" applyAlignment="1">
      <alignment horizontal="right" vertical="center"/>
    </xf>
    <xf numFmtId="170" fontId="8" fillId="0" borderId="31" xfId="1" applyNumberFormat="1" applyFont="1" applyBorder="1" applyAlignment="1">
      <alignment horizontal="right" vertical="center"/>
    </xf>
    <xf numFmtId="170" fontId="7" fillId="5" borderId="31" xfId="2" applyNumberFormat="1" applyFont="1" applyFill="1" applyBorder="1" applyAlignment="1">
      <alignment horizontal="right" vertical="center"/>
    </xf>
    <xf numFmtId="170" fontId="8" fillId="2" borderId="31" xfId="0" applyNumberFormat="1" applyFont="1" applyFill="1" applyBorder="1" applyAlignment="1">
      <alignment horizontal="right" vertical="center"/>
    </xf>
    <xf numFmtId="170" fontId="8" fillId="0" borderId="31" xfId="0" applyNumberFormat="1" applyFont="1" applyFill="1" applyBorder="1" applyAlignment="1">
      <alignment horizontal="right" vertical="center"/>
    </xf>
    <xf numFmtId="170" fontId="7" fillId="2" borderId="31" xfId="2" applyNumberFormat="1" applyFont="1" applyFill="1" applyBorder="1" applyAlignment="1">
      <alignment horizontal="right" vertical="center"/>
    </xf>
    <xf numFmtId="170" fontId="7" fillId="0" borderId="31" xfId="3" applyNumberFormat="1" applyFont="1" applyFill="1" applyBorder="1" applyAlignment="1">
      <alignment vertical="center" wrapText="1"/>
    </xf>
    <xf numFmtId="170" fontId="9" fillId="2" borderId="31" xfId="0" applyNumberFormat="1" applyFont="1" applyFill="1" applyBorder="1" applyAlignment="1">
      <alignment horizontal="right" vertical="center"/>
    </xf>
    <xf numFmtId="170" fontId="9" fillId="2" borderId="31" xfId="0" applyNumberFormat="1" applyFont="1" applyFill="1" applyBorder="1" applyAlignment="1">
      <alignment vertical="center"/>
    </xf>
    <xf numFmtId="174" fontId="12" fillId="14" borderId="21" xfId="3" applyNumberFormat="1" applyFont="1" applyFill="1" applyBorder="1" applyAlignment="1">
      <alignment horizontal="center" vertical="center" wrapText="1"/>
    </xf>
    <xf numFmtId="174" fontId="12" fillId="14" borderId="13" xfId="3" applyNumberFormat="1" applyFont="1" applyFill="1" applyBorder="1" applyAlignment="1">
      <alignment horizontal="center" vertical="center" wrapText="1"/>
    </xf>
    <xf numFmtId="174" fontId="12" fillId="14" borderId="31" xfId="3" applyNumberFormat="1" applyFont="1" applyFill="1" applyBorder="1" applyAlignment="1">
      <alignment horizontal="center" vertical="center" wrapText="1"/>
    </xf>
    <xf numFmtId="0" fontId="12" fillId="14" borderId="31" xfId="0" applyFont="1" applyFill="1" applyBorder="1" applyAlignment="1">
      <alignment horizontal="center" vertical="center"/>
    </xf>
    <xf numFmtId="0" fontId="12" fillId="14" borderId="31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/>
    </xf>
    <xf numFmtId="171" fontId="12" fillId="14" borderId="13" xfId="2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/>
    </xf>
    <xf numFmtId="0" fontId="12" fillId="14" borderId="13" xfId="0" applyFont="1" applyFill="1" applyBorder="1" applyAlignment="1"/>
    <xf numFmtId="0" fontId="12" fillId="14" borderId="15" xfId="0" applyFont="1" applyFill="1" applyBorder="1" applyAlignment="1">
      <alignment horizontal="center" vertical="center" wrapText="1"/>
    </xf>
    <xf numFmtId="177" fontId="31" fillId="13" borderId="21" xfId="2" applyNumberFormat="1" applyFont="1" applyFill="1" applyBorder="1" applyAlignment="1">
      <alignment vertical="center" wrapText="1"/>
    </xf>
    <xf numFmtId="177" fontId="31" fillId="13" borderId="15" xfId="2" applyNumberFormat="1" applyFont="1" applyFill="1" applyBorder="1" applyAlignment="1">
      <alignment vertical="center" wrapText="1"/>
    </xf>
    <xf numFmtId="170" fontId="31" fillId="13" borderId="16" xfId="0" applyNumberFormat="1" applyFont="1" applyFill="1" applyBorder="1" applyAlignment="1">
      <alignment horizontal="right" vertical="center"/>
    </xf>
    <xf numFmtId="170" fontId="2" fillId="2" borderId="10" xfId="1" applyFont="1" applyFill="1" applyBorder="1" applyAlignment="1">
      <alignment horizontal="center" vertical="center"/>
    </xf>
    <xf numFmtId="175" fontId="2" fillId="2" borderId="10" xfId="0" applyNumberFormat="1" applyFont="1" applyFill="1" applyBorder="1" applyAlignment="1">
      <alignment horizontal="center" vertical="center" wrapText="1"/>
    </xf>
    <xf numFmtId="43" fontId="8" fillId="0" borderId="0" xfId="0" applyNumberFormat="1" applyFont="1"/>
    <xf numFmtId="170" fontId="6" fillId="2" borderId="32" xfId="1" applyFont="1" applyFill="1" applyBorder="1" applyAlignment="1">
      <alignment horizontal="center" vertical="center" wrapText="1"/>
    </xf>
    <xf numFmtId="170" fontId="6" fillId="2" borderId="10" xfId="1" applyFont="1" applyFill="1" applyBorder="1" applyAlignment="1">
      <alignment horizontal="center" vertical="center" wrapText="1"/>
    </xf>
    <xf numFmtId="170" fontId="6" fillId="9" borderId="1" xfId="1" applyFont="1" applyFill="1" applyBorder="1" applyAlignment="1">
      <alignment horizontal="center" vertical="center" wrapText="1"/>
    </xf>
    <xf numFmtId="0" fontId="35" fillId="2" borderId="32" xfId="0" applyFont="1" applyFill="1" applyBorder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/>
    </xf>
    <xf numFmtId="43" fontId="34" fillId="0" borderId="14" xfId="0" applyNumberFormat="1" applyFont="1" applyBorder="1" applyAlignment="1">
      <alignment vertical="center"/>
    </xf>
    <xf numFmtId="0" fontId="18" fillId="2" borderId="32" xfId="4" applyFont="1" applyFill="1" applyBorder="1" applyAlignment="1">
      <alignment vertical="center" wrapText="1"/>
    </xf>
    <xf numFmtId="0" fontId="18" fillId="2" borderId="32" xfId="4" applyFont="1" applyFill="1" applyBorder="1" applyAlignment="1">
      <alignment horizontal="center" vertical="center" wrapText="1"/>
    </xf>
    <xf numFmtId="1" fontId="18" fillId="2" borderId="13" xfId="4" applyNumberFormat="1" applyFont="1" applyFill="1" applyBorder="1" applyAlignment="1">
      <alignment horizontal="center" vertical="center" wrapText="1"/>
    </xf>
    <xf numFmtId="3" fontId="18" fillId="2" borderId="14" xfId="4" applyNumberFormat="1" applyFont="1" applyFill="1" applyBorder="1" applyAlignment="1">
      <alignment vertical="center" wrapText="1"/>
    </xf>
    <xf numFmtId="1" fontId="18" fillId="2" borderId="15" xfId="4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0" fontId="21" fillId="0" borderId="16" xfId="0" applyFont="1" applyBorder="1" applyAlignment="1">
      <alignment horizontal="center" vertical="center" wrapText="1"/>
    </xf>
    <xf numFmtId="3" fontId="18" fillId="2" borderId="23" xfId="4" applyNumberFormat="1" applyFont="1" applyFill="1" applyBorder="1" applyAlignment="1">
      <alignment vertical="center" wrapText="1"/>
    </xf>
    <xf numFmtId="0" fontId="16" fillId="12" borderId="21" xfId="0" applyFont="1" applyFill="1" applyBorder="1" applyAlignment="1">
      <alignment horizontal="center" vertical="center"/>
    </xf>
    <xf numFmtId="0" fontId="16" fillId="12" borderId="25" xfId="0" applyFont="1" applyFill="1" applyBorder="1" applyAlignment="1">
      <alignment horizontal="center" vertical="center"/>
    </xf>
    <xf numFmtId="0" fontId="16" fillId="12" borderId="22" xfId="0" applyFont="1" applyFill="1" applyBorder="1" applyAlignment="1">
      <alignment horizontal="center" vertical="center"/>
    </xf>
    <xf numFmtId="171" fontId="2" fillId="0" borderId="0" xfId="2" applyFont="1"/>
    <xf numFmtId="166" fontId="2" fillId="0" borderId="0" xfId="0" applyNumberFormat="1" applyFont="1"/>
    <xf numFmtId="0" fontId="0" fillId="2" borderId="32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/>
    </xf>
    <xf numFmtId="4" fontId="18" fillId="2" borderId="18" xfId="4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178" fontId="0" fillId="10" borderId="37" xfId="2" applyNumberFormat="1" applyFont="1" applyFill="1" applyBorder="1" applyAlignment="1">
      <alignment horizontal="center" vertical="center"/>
    </xf>
    <xf numFmtId="4" fontId="18" fillId="2" borderId="37" xfId="4" applyNumberFormat="1" applyFont="1" applyFill="1" applyBorder="1" applyAlignment="1">
      <alignment horizontal="right" vertical="center" wrapText="1"/>
    </xf>
    <xf numFmtId="171" fontId="8" fillId="0" borderId="0" xfId="2" applyFont="1"/>
    <xf numFmtId="171" fontId="8" fillId="0" borderId="0" xfId="2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7" fontId="36" fillId="15" borderId="38" xfId="6" applyNumberFormat="1" applyFont="1"/>
    <xf numFmtId="0" fontId="37" fillId="15" borderId="38" xfId="6" applyAlignment="1">
      <alignment horizontal="center"/>
    </xf>
    <xf numFmtId="0" fontId="11" fillId="2" borderId="32" xfId="0" applyFont="1" applyFill="1" applyBorder="1" applyAlignment="1">
      <alignment horizontal="center" vertical="center" wrapText="1"/>
    </xf>
    <xf numFmtId="1" fontId="6" fillId="2" borderId="32" xfId="0" applyNumberFormat="1" applyFont="1" applyFill="1" applyBorder="1" applyAlignment="1">
      <alignment horizontal="center" vertical="center" wrapText="1"/>
    </xf>
    <xf numFmtId="170" fontId="2" fillId="2" borderId="32" xfId="1" applyFont="1" applyFill="1" applyBorder="1" applyAlignment="1">
      <alignment horizontal="center" vertical="center" wrapText="1"/>
    </xf>
    <xf numFmtId="0" fontId="2" fillId="2" borderId="0" xfId="0" applyFont="1" applyFill="1"/>
    <xf numFmtId="177" fontId="2" fillId="0" borderId="32" xfId="2" applyNumberFormat="1" applyFont="1" applyBorder="1"/>
    <xf numFmtId="0" fontId="12" fillId="14" borderId="2" xfId="0" applyFont="1" applyFill="1" applyBorder="1" applyAlignment="1">
      <alignment horizontal="center" vertical="center"/>
    </xf>
    <xf numFmtId="170" fontId="8" fillId="0" borderId="2" xfId="0" applyNumberFormat="1" applyFont="1" applyBorder="1"/>
    <xf numFmtId="170" fontId="7" fillId="0" borderId="2" xfId="0" applyNumberFormat="1" applyFont="1" applyBorder="1"/>
    <xf numFmtId="0" fontId="12" fillId="14" borderId="32" xfId="0" applyFont="1" applyFill="1" applyBorder="1" applyAlignment="1">
      <alignment horizontal="center" vertical="center"/>
    </xf>
    <xf numFmtId="167" fontId="8" fillId="0" borderId="32" xfId="0" applyNumberFormat="1" applyFont="1" applyBorder="1"/>
    <xf numFmtId="167" fontId="33" fillId="0" borderId="32" xfId="0" applyNumberFormat="1" applyFont="1" applyBorder="1"/>
    <xf numFmtId="1" fontId="18" fillId="10" borderId="31" xfId="4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1" fontId="40" fillId="2" borderId="10" xfId="0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14" fontId="18" fillId="2" borderId="2" xfId="4" applyNumberFormat="1" applyFont="1" applyFill="1" applyBorder="1" applyAlignment="1">
      <alignment horizontal="center" vertical="center" wrapText="1"/>
    </xf>
    <xf numFmtId="1" fontId="18" fillId="2" borderId="2" xfId="4" applyNumberFormat="1" applyFont="1" applyFill="1" applyBorder="1" applyAlignment="1">
      <alignment horizontal="center" vertical="center" wrapText="1"/>
    </xf>
    <xf numFmtId="1" fontId="18" fillId="2" borderId="42" xfId="4" applyNumberFormat="1" applyFont="1" applyFill="1" applyBorder="1" applyAlignment="1">
      <alignment horizontal="center" vertical="center" wrapText="1"/>
    </xf>
    <xf numFmtId="1" fontId="18" fillId="2" borderId="43" xfId="4" applyNumberFormat="1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14" fontId="18" fillId="2" borderId="40" xfId="4" applyNumberFormat="1" applyFont="1" applyFill="1" applyBorder="1" applyAlignment="1">
      <alignment horizontal="center" vertical="center" wrapText="1"/>
    </xf>
    <xf numFmtId="177" fontId="36" fillId="15" borderId="45" xfId="6" applyNumberFormat="1" applyFont="1" applyBorder="1" applyAlignment="1">
      <alignment horizontal="center" vertical="center"/>
    </xf>
    <xf numFmtId="0" fontId="37" fillId="2" borderId="38" xfId="6" applyFill="1" applyAlignment="1">
      <alignment horizontal="center" vertical="center" wrapText="1"/>
    </xf>
    <xf numFmtId="177" fontId="36" fillId="2" borderId="45" xfId="6" applyNumberFormat="1" applyFont="1" applyFill="1" applyBorder="1" applyAlignment="1">
      <alignment horizontal="center" vertical="center"/>
    </xf>
    <xf numFmtId="0" fontId="42" fillId="15" borderId="38" xfId="6" applyFont="1" applyAlignment="1">
      <alignment horizontal="center" vertical="center" wrapText="1"/>
    </xf>
    <xf numFmtId="41" fontId="8" fillId="0" borderId="0" xfId="7" applyFont="1"/>
    <xf numFmtId="0" fontId="35" fillId="2" borderId="40" xfId="0" applyFont="1" applyFill="1" applyBorder="1" applyAlignment="1">
      <alignment horizontal="left" vertical="center" wrapText="1"/>
    </xf>
    <xf numFmtId="0" fontId="35" fillId="2" borderId="1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35" fillId="2" borderId="2" xfId="0" applyFont="1" applyFill="1" applyBorder="1" applyAlignment="1">
      <alignment horizontal="left" vertical="center" wrapText="1"/>
    </xf>
    <xf numFmtId="0" fontId="42" fillId="2" borderId="38" xfId="6" applyFont="1" applyFill="1" applyAlignment="1">
      <alignment horizontal="center" vertical="center" wrapText="1"/>
    </xf>
    <xf numFmtId="0" fontId="38" fillId="2" borderId="38" xfId="6" applyFont="1" applyFill="1" applyAlignment="1">
      <alignment horizontal="center" vertical="center" wrapText="1"/>
    </xf>
    <xf numFmtId="0" fontId="43" fillId="15" borderId="38" xfId="6" applyFont="1" applyAlignment="1">
      <alignment horizontal="center" vertical="center" wrapText="1"/>
    </xf>
    <xf numFmtId="177" fontId="41" fillId="15" borderId="45" xfId="6" applyNumberFormat="1" applyFont="1" applyBorder="1" applyAlignment="1">
      <alignment horizontal="center" vertical="center"/>
    </xf>
    <xf numFmtId="177" fontId="41" fillId="15" borderId="44" xfId="6" applyNumberFormat="1" applyFont="1" applyBorder="1" applyAlignment="1">
      <alignment horizontal="center" vertical="center"/>
    </xf>
    <xf numFmtId="0" fontId="44" fillId="15" borderId="38" xfId="6" applyFont="1" applyAlignment="1">
      <alignment horizontal="center" vertical="center"/>
    </xf>
    <xf numFmtId="177" fontId="44" fillId="15" borderId="38" xfId="6" applyNumberFormat="1" applyFont="1" applyAlignment="1">
      <alignment vertical="center"/>
    </xf>
    <xf numFmtId="177" fontId="45" fillId="15" borderId="45" xfId="6" applyNumberFormat="1" applyFont="1" applyBorder="1" applyAlignment="1">
      <alignment horizontal="center" vertical="center"/>
    </xf>
    <xf numFmtId="170" fontId="8" fillId="2" borderId="22" xfId="0" applyNumberFormat="1" applyFont="1" applyFill="1" applyBorder="1" applyAlignment="1">
      <alignment horizontal="right" vertical="center"/>
    </xf>
    <xf numFmtId="170" fontId="9" fillId="0" borderId="0" xfId="2" applyNumberFormat="1" applyFont="1" applyFill="1" applyBorder="1" applyAlignment="1">
      <alignment horizontal="right" vertical="center"/>
    </xf>
    <xf numFmtId="0" fontId="8" fillId="0" borderId="0" xfId="0" applyFont="1" applyBorder="1"/>
    <xf numFmtId="167" fontId="8" fillId="0" borderId="0" xfId="0" applyNumberFormat="1" applyFont="1" applyBorder="1"/>
    <xf numFmtId="170" fontId="8" fillId="2" borderId="0" xfId="0" applyNumberFormat="1" applyFont="1" applyFill="1" applyBorder="1" applyAlignment="1">
      <alignment horizontal="right" vertical="center"/>
    </xf>
    <xf numFmtId="0" fontId="5" fillId="7" borderId="40" xfId="0" applyFont="1" applyFill="1" applyBorder="1" applyAlignment="1">
      <alignment horizontal="center"/>
    </xf>
    <xf numFmtId="177" fontId="5" fillId="7" borderId="40" xfId="0" applyNumberFormat="1" applyFont="1" applyFill="1" applyBorder="1" applyAlignment="1">
      <alignment horizontal="center"/>
    </xf>
    <xf numFmtId="167" fontId="5" fillId="7" borderId="40" xfId="0" applyNumberFormat="1" applyFont="1" applyFill="1" applyBorder="1" applyAlignment="1">
      <alignment horizontal="center"/>
    </xf>
    <xf numFmtId="0" fontId="8" fillId="0" borderId="40" xfId="0" applyFont="1" applyBorder="1"/>
    <xf numFmtId="44" fontId="8" fillId="0" borderId="40" xfId="0" applyNumberFormat="1" applyFont="1" applyBorder="1"/>
    <xf numFmtId="177" fontId="8" fillId="0" borderId="40" xfId="2" applyNumberFormat="1" applyFont="1" applyBorder="1"/>
    <xf numFmtId="177" fontId="8" fillId="0" borderId="40" xfId="0" applyNumberFormat="1" applyFont="1" applyBorder="1"/>
    <xf numFmtId="167" fontId="5" fillId="7" borderId="40" xfId="0" applyNumberFormat="1" applyFont="1" applyFill="1" applyBorder="1"/>
    <xf numFmtId="3" fontId="2" fillId="2" borderId="40" xfId="0" applyNumberFormat="1" applyFont="1" applyFill="1" applyBorder="1" applyAlignment="1">
      <alignment horizontal="center" vertical="center"/>
    </xf>
    <xf numFmtId="1" fontId="47" fillId="2" borderId="10" xfId="0" applyNumberFormat="1" applyFont="1" applyFill="1" applyBorder="1" applyAlignment="1">
      <alignment horizontal="center" vertical="center" wrapText="1"/>
    </xf>
    <xf numFmtId="172" fontId="49" fillId="2" borderId="1" xfId="2" applyNumberFormat="1" applyFont="1" applyFill="1" applyBorder="1" applyAlignment="1">
      <alignment vertical="center"/>
    </xf>
    <xf numFmtId="172" fontId="48" fillId="2" borderId="32" xfId="1" applyNumberFormat="1" applyFont="1" applyFill="1" applyBorder="1" applyAlignment="1">
      <alignment vertical="center" wrapText="1"/>
    </xf>
    <xf numFmtId="172" fontId="40" fillId="2" borderId="10" xfId="1" applyNumberFormat="1" applyFont="1" applyFill="1" applyBorder="1" applyAlignment="1">
      <alignment vertical="center"/>
    </xf>
    <xf numFmtId="172" fontId="48" fillId="2" borderId="10" xfId="1" applyNumberFormat="1" applyFont="1" applyFill="1" applyBorder="1" applyAlignment="1">
      <alignment vertical="center" wrapText="1"/>
    </xf>
    <xf numFmtId="1" fontId="47" fillId="2" borderId="40" xfId="0" applyNumberFormat="1" applyFont="1" applyFill="1" applyBorder="1" applyAlignment="1">
      <alignment horizontal="center" vertical="center" wrapText="1"/>
    </xf>
    <xf numFmtId="172" fontId="48" fillId="2" borderId="40" xfId="1" applyNumberFormat="1" applyFont="1" applyFill="1" applyBorder="1" applyAlignment="1">
      <alignment vertical="center" wrapText="1"/>
    </xf>
    <xf numFmtId="172" fontId="49" fillId="0" borderId="40" xfId="0" applyNumberFormat="1" applyFont="1" applyBorder="1" applyAlignment="1"/>
    <xf numFmtId="172" fontId="40" fillId="2" borderId="40" xfId="1" applyNumberFormat="1" applyFont="1" applyFill="1" applyBorder="1" applyAlignment="1">
      <alignment vertical="center"/>
    </xf>
    <xf numFmtId="172" fontId="0" fillId="0" borderId="40" xfId="0" applyNumberFormat="1" applyBorder="1"/>
    <xf numFmtId="0" fontId="0" fillId="0" borderId="40" xfId="0" applyBorder="1"/>
    <xf numFmtId="0" fontId="0" fillId="0" borderId="0" xfId="0" applyBorder="1" applyAlignment="1">
      <alignment horizontal="center"/>
    </xf>
    <xf numFmtId="172" fontId="0" fillId="0" borderId="0" xfId="0" applyNumberFormat="1" applyBorder="1"/>
    <xf numFmtId="172" fontId="16" fillId="0" borderId="40" xfId="0" applyNumberFormat="1" applyFont="1" applyBorder="1"/>
    <xf numFmtId="172" fontId="50" fillId="16" borderId="40" xfId="1" applyNumberFormat="1" applyFont="1" applyFill="1" applyBorder="1" applyAlignment="1">
      <alignment vertical="center" wrapText="1"/>
    </xf>
    <xf numFmtId="0" fontId="16" fillId="10" borderId="28" xfId="0" applyFont="1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 wrapText="1"/>
    </xf>
    <xf numFmtId="14" fontId="18" fillId="10" borderId="10" xfId="4" applyNumberFormat="1" applyFont="1" applyFill="1" applyBorder="1" applyAlignment="1">
      <alignment horizontal="center" vertical="center" wrapText="1"/>
    </xf>
    <xf numFmtId="0" fontId="24" fillId="10" borderId="31" xfId="0" applyFont="1" applyFill="1" applyBorder="1" applyAlignment="1">
      <alignment vertical="center" wrapText="1"/>
    </xf>
    <xf numFmtId="4" fontId="18" fillId="10" borderId="10" xfId="4" applyNumberFormat="1" applyFont="1" applyFill="1" applyBorder="1" applyAlignment="1">
      <alignment horizontal="right" vertical="center" wrapText="1"/>
    </xf>
    <xf numFmtId="3" fontId="18" fillId="10" borderId="10" xfId="4" applyNumberFormat="1" applyFont="1" applyFill="1" applyBorder="1" applyAlignment="1">
      <alignment vertical="center" wrapText="1"/>
    </xf>
    <xf numFmtId="3" fontId="0" fillId="10" borderId="14" xfId="0" applyNumberFormat="1" applyFill="1" applyBorder="1" applyAlignment="1">
      <alignment vertical="center"/>
    </xf>
    <xf numFmtId="172" fontId="2" fillId="10" borderId="0" xfId="1" applyNumberFormat="1" applyFont="1" applyFill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17" borderId="40" xfId="0" applyFont="1" applyFill="1" applyBorder="1" applyAlignment="1">
      <alignment horizontal="center" vertical="center"/>
    </xf>
    <xf numFmtId="0" fontId="10" fillId="18" borderId="40" xfId="0" applyFont="1" applyFill="1" applyBorder="1" applyAlignment="1">
      <alignment horizontal="center" vertical="center"/>
    </xf>
    <xf numFmtId="3" fontId="10" fillId="18" borderId="40" xfId="0" applyNumberFormat="1" applyFont="1" applyFill="1" applyBorder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7" fontId="8" fillId="0" borderId="8" xfId="0" applyNumberFormat="1" applyFont="1" applyBorder="1"/>
    <xf numFmtId="167" fontId="8" fillId="0" borderId="8" xfId="0" applyNumberFormat="1" applyFont="1" applyBorder="1" applyAlignment="1">
      <alignment horizontal="center" vertical="center"/>
    </xf>
    <xf numFmtId="177" fontId="2" fillId="0" borderId="40" xfId="2" applyNumberFormat="1" applyFont="1" applyBorder="1"/>
    <xf numFmtId="170" fontId="8" fillId="0" borderId="8" xfId="0" applyNumberFormat="1" applyFont="1" applyBorder="1"/>
    <xf numFmtId="0" fontId="5" fillId="0" borderId="0" xfId="0" applyFont="1" applyBorder="1"/>
    <xf numFmtId="9" fontId="8" fillId="0" borderId="0" xfId="8" applyFont="1" applyAlignment="1">
      <alignment horizontal="center"/>
    </xf>
    <xf numFmtId="9" fontId="5" fillId="0" borderId="0" xfId="0" applyNumberFormat="1" applyFont="1" applyAlignment="1">
      <alignment horizontal="center"/>
    </xf>
    <xf numFmtId="170" fontId="8" fillId="2" borderId="40" xfId="0" applyNumberFormat="1" applyFont="1" applyFill="1" applyBorder="1" applyAlignment="1">
      <alignment horizontal="right" vertical="center"/>
    </xf>
    <xf numFmtId="170" fontId="7" fillId="2" borderId="40" xfId="2" applyNumberFormat="1" applyFont="1" applyFill="1" applyBorder="1" applyAlignment="1">
      <alignment horizontal="right" vertical="center"/>
    </xf>
    <xf numFmtId="170" fontId="9" fillId="2" borderId="40" xfId="0" applyNumberFormat="1" applyFont="1" applyFill="1" applyBorder="1" applyAlignment="1">
      <alignment vertical="center"/>
    </xf>
    <xf numFmtId="167" fontId="8" fillId="0" borderId="40" xfId="0" applyNumberFormat="1" applyFont="1" applyBorder="1"/>
    <xf numFmtId="174" fontId="12" fillId="19" borderId="21" xfId="3" applyNumberFormat="1" applyFont="1" applyFill="1" applyBorder="1" applyAlignment="1">
      <alignment horizontal="center" vertical="center" wrapText="1"/>
    </xf>
    <xf numFmtId="174" fontId="12" fillId="19" borderId="13" xfId="3" applyNumberFormat="1" applyFont="1" applyFill="1" applyBorder="1" applyAlignment="1">
      <alignment horizontal="center" vertical="center" wrapText="1"/>
    </xf>
    <xf numFmtId="171" fontId="12" fillId="19" borderId="13" xfId="2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/>
    </xf>
    <xf numFmtId="0" fontId="12" fillId="19" borderId="13" xfId="0" applyFont="1" applyFill="1" applyBorder="1" applyAlignment="1">
      <alignment horizontal="center"/>
    </xf>
    <xf numFmtId="0" fontId="12" fillId="19" borderId="15" xfId="0" applyFont="1" applyFill="1" applyBorder="1" applyAlignment="1">
      <alignment horizontal="center" vertical="center" wrapText="1"/>
    </xf>
    <xf numFmtId="174" fontId="12" fillId="19" borderId="31" xfId="3" applyNumberFormat="1" applyFont="1" applyFill="1" applyBorder="1" applyAlignment="1">
      <alignment horizontal="center" vertical="center" wrapText="1"/>
    </xf>
    <xf numFmtId="0" fontId="12" fillId="19" borderId="31" xfId="0" applyFont="1" applyFill="1" applyBorder="1" applyAlignment="1">
      <alignment horizontal="center" vertical="center"/>
    </xf>
    <xf numFmtId="0" fontId="12" fillId="19" borderId="31" xfId="0" applyFont="1" applyFill="1" applyBorder="1" applyAlignment="1">
      <alignment horizontal="center" vertical="center" wrapText="1"/>
    </xf>
    <xf numFmtId="0" fontId="12" fillId="19" borderId="2" xfId="0" applyFont="1" applyFill="1" applyBorder="1" applyAlignment="1">
      <alignment horizontal="center" vertical="center"/>
    </xf>
    <xf numFmtId="170" fontId="31" fillId="20" borderId="16" xfId="0" applyNumberFormat="1" applyFont="1" applyFill="1" applyBorder="1" applyAlignment="1">
      <alignment horizontal="right" vertical="center"/>
    </xf>
    <xf numFmtId="0" fontId="5" fillId="8" borderId="40" xfId="0" applyFont="1" applyFill="1" applyBorder="1" applyAlignment="1">
      <alignment horizontal="center" wrapText="1"/>
    </xf>
    <xf numFmtId="0" fontId="5" fillId="8" borderId="40" xfId="0" applyFont="1" applyFill="1" applyBorder="1" applyAlignment="1">
      <alignment horizontal="center" vertical="center" wrapText="1"/>
    </xf>
    <xf numFmtId="177" fontId="31" fillId="21" borderId="21" xfId="2" applyNumberFormat="1" applyFont="1" applyFill="1" applyBorder="1" applyAlignment="1">
      <alignment vertical="center" wrapText="1"/>
    </xf>
    <xf numFmtId="3" fontId="0" fillId="2" borderId="40" xfId="2" applyNumberFormat="1" applyFont="1" applyFill="1" applyBorder="1" applyAlignment="1">
      <alignment vertical="center"/>
    </xf>
    <xf numFmtId="172" fontId="10" fillId="3" borderId="18" xfId="1" applyNumberFormat="1" applyFont="1" applyFill="1" applyBorder="1" applyAlignment="1" applyProtection="1">
      <alignment horizontal="center" vertical="center" wrapText="1"/>
    </xf>
    <xf numFmtId="0" fontId="2" fillId="8" borderId="40" xfId="0" applyFont="1" applyFill="1" applyBorder="1"/>
    <xf numFmtId="172" fontId="10" fillId="3" borderId="43" xfId="0" applyNumberFormat="1" applyFont="1" applyFill="1" applyBorder="1" applyAlignment="1">
      <alignment horizontal="center" vertical="center" wrapText="1"/>
    </xf>
    <xf numFmtId="170" fontId="2" fillId="0" borderId="40" xfId="0" applyNumberFormat="1" applyFont="1" applyBorder="1" applyAlignment="1">
      <alignment horizontal="center" vertical="center"/>
    </xf>
    <xf numFmtId="170" fontId="2" fillId="8" borderId="40" xfId="1" applyFont="1" applyFill="1" applyBorder="1" applyAlignment="1">
      <alignment horizontal="center" vertical="center"/>
    </xf>
    <xf numFmtId="41" fontId="2" fillId="2" borderId="0" xfId="7" applyFont="1" applyFill="1" applyAlignment="1">
      <alignment horizontal="center" vertical="center"/>
    </xf>
    <xf numFmtId="41" fontId="2" fillId="2" borderId="0" xfId="0" applyNumberFormat="1" applyFont="1" applyFill="1" applyAlignment="1">
      <alignment horizontal="center" vertical="center"/>
    </xf>
    <xf numFmtId="4" fontId="8" fillId="0" borderId="0" xfId="0" applyNumberFormat="1" applyFont="1"/>
    <xf numFmtId="178" fontId="0" fillId="2" borderId="37" xfId="2" applyNumberFormat="1" applyFont="1" applyFill="1" applyBorder="1" applyAlignment="1">
      <alignment horizontal="center" vertical="center"/>
    </xf>
    <xf numFmtId="1" fontId="18" fillId="10" borderId="1" xfId="4" applyNumberFormat="1" applyFont="1" applyFill="1" applyBorder="1" applyAlignment="1">
      <alignment horizontal="center" vertical="center" wrapText="1"/>
    </xf>
    <xf numFmtId="14" fontId="18" fillId="22" borderId="40" xfId="4" applyNumberFormat="1" applyFont="1" applyFill="1" applyBorder="1" applyAlignment="1">
      <alignment horizontal="center" vertical="center" wrapText="1"/>
    </xf>
    <xf numFmtId="1" fontId="18" fillId="22" borderId="41" xfId="4" applyNumberFormat="1" applyFont="1" applyFill="1" applyBorder="1" applyAlignment="1">
      <alignment horizontal="center" vertical="center" wrapText="1"/>
    </xf>
    <xf numFmtId="1" fontId="0" fillId="10" borderId="42" xfId="0" applyNumberFormat="1" applyFill="1" applyBorder="1" applyAlignment="1">
      <alignment horizontal="center" vertical="center"/>
    </xf>
    <xf numFmtId="1" fontId="0" fillId="10" borderId="24" xfId="0" applyNumberFormat="1" applyFill="1" applyBorder="1" applyAlignment="1">
      <alignment horizontal="center" vertical="center"/>
    </xf>
    <xf numFmtId="1" fontId="0" fillId="10" borderId="20" xfId="0" applyNumberFormat="1" applyFill="1" applyBorder="1" applyAlignment="1">
      <alignment horizontal="center" vertical="center"/>
    </xf>
    <xf numFmtId="1" fontId="18" fillId="10" borderId="32" xfId="4" applyNumberFormat="1" applyFont="1" applyFill="1" applyBorder="1" applyAlignment="1">
      <alignment horizontal="center" vertical="center" wrapText="1"/>
    </xf>
    <xf numFmtId="0" fontId="24" fillId="10" borderId="9" xfId="0" applyFont="1" applyFill="1" applyBorder="1" applyAlignment="1">
      <alignment horizontal="center" vertical="center" wrapText="1"/>
    </xf>
    <xf numFmtId="1" fontId="18" fillId="10" borderId="2" xfId="4" applyNumberFormat="1" applyFont="1" applyFill="1" applyBorder="1" applyAlignment="1">
      <alignment horizontal="center" vertical="center" wrapText="1"/>
    </xf>
    <xf numFmtId="170" fontId="8" fillId="0" borderId="0" xfId="0" applyNumberFormat="1" applyFont="1" applyAlignment="1">
      <alignment vertical="center"/>
    </xf>
    <xf numFmtId="41" fontId="8" fillId="0" borderId="0" xfId="0" applyNumberFormat="1" applyFont="1"/>
    <xf numFmtId="41" fontId="35" fillId="2" borderId="40" xfId="7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/>
    </xf>
    <xf numFmtId="3" fontId="0" fillId="0" borderId="0" xfId="0" applyNumberFormat="1"/>
    <xf numFmtId="177" fontId="8" fillId="0" borderId="0" xfId="2" applyNumberFormat="1" applyFont="1" applyAlignment="1">
      <alignment horizontal="center" vertical="center"/>
    </xf>
    <xf numFmtId="177" fontId="8" fillId="0" borderId="0" xfId="2" applyNumberFormat="1" applyFont="1" applyAlignment="1">
      <alignment wrapText="1"/>
    </xf>
    <xf numFmtId="171" fontId="8" fillId="0" borderId="0" xfId="2" applyNumberFormat="1" applyFont="1" applyAlignment="1">
      <alignment vertical="center"/>
    </xf>
    <xf numFmtId="41" fontId="49" fillId="0" borderId="0" xfId="7" applyFont="1"/>
    <xf numFmtId="41" fontId="0" fillId="0" borderId="0" xfId="7" applyFont="1"/>
    <xf numFmtId="3" fontId="0" fillId="0" borderId="40" xfId="0" applyNumberFormat="1" applyBorder="1"/>
    <xf numFmtId="41" fontId="0" fillId="0" borderId="40" xfId="7" applyFont="1" applyBorder="1"/>
    <xf numFmtId="0" fontId="16" fillId="7" borderId="40" xfId="0" applyFont="1" applyFill="1" applyBorder="1"/>
    <xf numFmtId="0" fontId="16" fillId="7" borderId="40" xfId="0" applyFont="1" applyFill="1" applyBorder="1" applyAlignment="1">
      <alignment horizontal="center"/>
    </xf>
    <xf numFmtId="3" fontId="16" fillId="7" borderId="40" xfId="0" applyNumberFormat="1" applyFont="1" applyFill="1" applyBorder="1"/>
    <xf numFmtId="170" fontId="9" fillId="0" borderId="40" xfId="0" applyNumberFormat="1" applyFont="1" applyFill="1" applyBorder="1" applyAlignment="1">
      <alignment vertical="center"/>
    </xf>
    <xf numFmtId="172" fontId="10" fillId="3" borderId="0" xfId="1" applyNumberFormat="1" applyFont="1" applyFill="1" applyBorder="1" applyAlignment="1" applyProtection="1">
      <alignment horizontal="center" vertical="center" wrapText="1"/>
    </xf>
    <xf numFmtId="170" fontId="6" fillId="2" borderId="0" xfId="1" applyFont="1" applyFill="1" applyBorder="1" applyAlignment="1">
      <alignment horizontal="center" vertical="center" wrapText="1"/>
    </xf>
    <xf numFmtId="0" fontId="2" fillId="2" borderId="40" xfId="0" applyFont="1" applyFill="1" applyBorder="1"/>
    <xf numFmtId="0" fontId="10" fillId="3" borderId="43" xfId="0" applyFont="1" applyFill="1" applyBorder="1" applyAlignment="1">
      <alignment horizontal="center" vertical="center" wrapText="1"/>
    </xf>
    <xf numFmtId="170" fontId="8" fillId="0" borderId="40" xfId="0" applyNumberFormat="1" applyFont="1" applyFill="1" applyBorder="1" applyAlignment="1">
      <alignment horizontal="right" vertical="center"/>
    </xf>
    <xf numFmtId="170" fontId="8" fillId="0" borderId="40" xfId="0" applyNumberFormat="1" applyFont="1" applyBorder="1"/>
    <xf numFmtId="0" fontId="19" fillId="1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" fontId="6" fillId="2" borderId="42" xfId="0" applyNumberFormat="1" applyFont="1" applyFill="1" applyBorder="1" applyAlignment="1">
      <alignment horizontal="center" vertical="center"/>
    </xf>
    <xf numFmtId="0" fontId="10" fillId="10" borderId="12" xfId="0" applyFont="1" applyFill="1" applyBorder="1" applyAlignment="1"/>
    <xf numFmtId="0" fontId="39" fillId="10" borderId="12" xfId="0" applyFont="1" applyFill="1" applyBorder="1" applyAlignment="1">
      <alignment horizontal="center"/>
    </xf>
    <xf numFmtId="172" fontId="10" fillId="3" borderId="12" xfId="1" applyNumberFormat="1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6" fillId="2" borderId="12" xfId="0" applyFont="1" applyFill="1" applyBorder="1" applyAlignment="1">
      <alignment horizontal="center" vertical="center" wrapText="1"/>
    </xf>
    <xf numFmtId="170" fontId="6" fillId="2" borderId="12" xfId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70" fontId="2" fillId="2" borderId="12" xfId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70" fontId="3" fillId="2" borderId="12" xfId="1" applyFont="1" applyFill="1" applyBorder="1" applyAlignment="1">
      <alignment horizontal="center" vertical="center" wrapText="1"/>
    </xf>
    <xf numFmtId="170" fontId="2" fillId="2" borderId="12" xfId="1" applyFont="1" applyFill="1" applyBorder="1" applyAlignment="1">
      <alignment horizontal="center" vertical="center"/>
    </xf>
    <xf numFmtId="175" fontId="2" fillId="2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0" fontId="10" fillId="3" borderId="12" xfId="0" applyFont="1" applyFill="1" applyBorder="1"/>
    <xf numFmtId="170" fontId="10" fillId="3" borderId="12" xfId="0" applyNumberFormat="1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 wrapText="1"/>
    </xf>
    <xf numFmtId="0" fontId="46" fillId="10" borderId="10" xfId="0" applyFont="1" applyFill="1" applyBorder="1" applyAlignment="1">
      <alignment horizontal="center" vertical="center" wrapText="1"/>
    </xf>
    <xf numFmtId="172" fontId="2" fillId="2" borderId="10" xfId="1" applyNumberFormat="1" applyFont="1" applyFill="1" applyBorder="1" applyAlignment="1">
      <alignment horizontal="center" vertical="center"/>
    </xf>
    <xf numFmtId="170" fontId="6" fillId="10" borderId="12" xfId="1" applyFont="1" applyFill="1" applyBorder="1" applyAlignment="1">
      <alignment horizontal="center" vertical="center" wrapText="1"/>
    </xf>
    <xf numFmtId="174" fontId="32" fillId="19" borderId="0" xfId="3" applyNumberFormat="1" applyFont="1" applyFill="1" applyBorder="1" applyAlignment="1">
      <alignment horizontal="center" vertical="center" wrapText="1"/>
    </xf>
    <xf numFmtId="0" fontId="12" fillId="19" borderId="0" xfId="0" applyFont="1" applyFill="1" applyBorder="1" applyAlignment="1">
      <alignment horizontal="center" vertical="center"/>
    </xf>
    <xf numFmtId="170" fontId="8" fillId="0" borderId="0" xfId="0" applyNumberFormat="1" applyFont="1" applyBorder="1"/>
    <xf numFmtId="170" fontId="33" fillId="0" borderId="0" xfId="0" applyNumberFormat="1" applyFont="1" applyBorder="1" applyAlignment="1">
      <alignment vertical="center"/>
    </xf>
    <xf numFmtId="170" fontId="31" fillId="20" borderId="0" xfId="0" applyNumberFormat="1" applyFont="1" applyFill="1" applyBorder="1" applyAlignment="1">
      <alignment horizontal="right" vertical="center"/>
    </xf>
    <xf numFmtId="170" fontId="8" fillId="0" borderId="0" xfId="0" applyNumberFormat="1" applyFont="1" applyBorder="1" applyAlignment="1">
      <alignment horizontal="center"/>
    </xf>
    <xf numFmtId="170" fontId="9" fillId="0" borderId="0" xfId="2" applyNumberFormat="1" applyFont="1" applyFill="1" applyBorder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0" fontId="8" fillId="0" borderId="40" xfId="0" applyNumberFormat="1" applyFont="1" applyBorder="1" applyAlignment="1">
      <alignment vertical="center"/>
    </xf>
    <xf numFmtId="0" fontId="22" fillId="12" borderId="21" xfId="0" applyFont="1" applyFill="1" applyBorder="1" applyAlignment="1">
      <alignment horizontal="center" vertical="center"/>
    </xf>
    <xf numFmtId="0" fontId="22" fillId="12" borderId="25" xfId="0" applyFont="1" applyFill="1" applyBorder="1" applyAlignment="1">
      <alignment horizontal="center" vertical="center"/>
    </xf>
    <xf numFmtId="0" fontId="22" fillId="12" borderId="25" xfId="0" applyFont="1" applyFill="1" applyBorder="1" applyAlignment="1">
      <alignment horizontal="center" vertical="center" wrapText="1"/>
    </xf>
    <xf numFmtId="178" fontId="22" fillId="12" borderId="25" xfId="2" applyNumberFormat="1" applyFont="1" applyFill="1" applyBorder="1" applyAlignment="1">
      <alignment horizontal="center" vertical="center"/>
    </xf>
    <xf numFmtId="178" fontId="22" fillId="12" borderId="25" xfId="2" applyNumberFormat="1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/>
    </xf>
    <xf numFmtId="1" fontId="18" fillId="2" borderId="40" xfId="4" applyNumberFormat="1" applyFont="1" applyFill="1" applyBorder="1" applyAlignment="1">
      <alignment horizontal="center" vertical="center" wrapText="1"/>
    </xf>
    <xf numFmtId="1" fontId="40" fillId="2" borderId="40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center"/>
    </xf>
    <xf numFmtId="170" fontId="6" fillId="2" borderId="40" xfId="1" applyFont="1" applyFill="1" applyBorder="1" applyAlignment="1">
      <alignment horizontal="center" vertical="center" wrapText="1"/>
    </xf>
    <xf numFmtId="170" fontId="2" fillId="2" borderId="40" xfId="1" applyFont="1" applyFill="1" applyBorder="1" applyAlignment="1">
      <alignment horizontal="center" vertical="center"/>
    </xf>
    <xf numFmtId="182" fontId="2" fillId="2" borderId="40" xfId="7" applyNumberFormat="1" applyFont="1" applyFill="1" applyBorder="1" applyAlignment="1">
      <alignment horizontal="center" vertical="center"/>
    </xf>
    <xf numFmtId="3" fontId="18" fillId="2" borderId="40" xfId="4" applyNumberFormat="1" applyFont="1" applyFill="1" applyBorder="1" applyAlignment="1">
      <alignment vertical="center" wrapText="1"/>
    </xf>
    <xf numFmtId="170" fontId="8" fillId="0" borderId="31" xfId="2" applyNumberFormat="1" applyFont="1" applyFill="1" applyBorder="1" applyAlignment="1">
      <alignment horizontal="right" vertical="center"/>
    </xf>
    <xf numFmtId="170" fontId="6" fillId="2" borderId="12" xfId="1" applyFont="1" applyFill="1" applyBorder="1" applyAlignment="1">
      <alignment horizontal="center" vertical="center"/>
    </xf>
    <xf numFmtId="172" fontId="9" fillId="0" borderId="31" xfId="2" applyNumberFormat="1" applyFont="1" applyFill="1" applyBorder="1" applyAlignment="1">
      <alignment horizontal="right" vertical="center"/>
    </xf>
    <xf numFmtId="172" fontId="8" fillId="2" borderId="31" xfId="0" applyNumberFormat="1" applyFont="1" applyFill="1" applyBorder="1" applyAlignment="1">
      <alignment horizontal="right" vertical="center"/>
    </xf>
    <xf numFmtId="41" fontId="0" fillId="0" borderId="0" xfId="0" applyNumberFormat="1"/>
    <xf numFmtId="1" fontId="6" fillId="2" borderId="0" xfId="0" applyNumberFormat="1" applyFont="1" applyFill="1" applyBorder="1" applyAlignment="1">
      <alignment horizontal="center" vertical="center"/>
    </xf>
    <xf numFmtId="170" fontId="33" fillId="0" borderId="40" xfId="0" applyNumberFormat="1" applyFont="1" applyBorder="1"/>
    <xf numFmtId="0" fontId="16" fillId="2" borderId="49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3" fontId="0" fillId="2" borderId="10" xfId="2" applyNumberFormat="1" applyFont="1" applyFill="1" applyBorder="1" applyAlignment="1">
      <alignment vertical="center"/>
    </xf>
    <xf numFmtId="4" fontId="10" fillId="11" borderId="16" xfId="0" applyNumberFormat="1" applyFont="1" applyFill="1" applyBorder="1" applyAlignment="1">
      <alignment vertical="center"/>
    </xf>
    <xf numFmtId="170" fontId="9" fillId="2" borderId="10" xfId="0" applyNumberFormat="1" applyFont="1" applyFill="1" applyBorder="1" applyAlignment="1">
      <alignment horizontal="right" vertical="center"/>
    </xf>
    <xf numFmtId="170" fontId="8" fillId="2" borderId="10" xfId="0" applyNumberFormat="1" applyFont="1" applyFill="1" applyBorder="1" applyAlignment="1">
      <alignment horizontal="right" vertical="center"/>
    </xf>
    <xf numFmtId="170" fontId="9" fillId="2" borderId="10" xfId="0" applyNumberFormat="1" applyFont="1" applyFill="1" applyBorder="1" applyAlignment="1">
      <alignment vertical="center"/>
    </xf>
    <xf numFmtId="170" fontId="7" fillId="0" borderId="31" xfId="2" applyNumberFormat="1" applyFont="1" applyFill="1" applyBorder="1" applyAlignment="1">
      <alignment horizontal="right" vertical="center"/>
    </xf>
    <xf numFmtId="174" fontId="13" fillId="25" borderId="21" xfId="3" applyNumberFormat="1" applyFont="1" applyFill="1" applyBorder="1" applyAlignment="1">
      <alignment horizontal="center" vertical="center" wrapText="1"/>
    </xf>
    <xf numFmtId="174" fontId="13" fillId="25" borderId="13" xfId="3" applyNumberFormat="1" applyFont="1" applyFill="1" applyBorder="1" applyAlignment="1">
      <alignment horizontal="center" vertical="center" wrapText="1"/>
    </xf>
    <xf numFmtId="174" fontId="13" fillId="25" borderId="31" xfId="3" applyNumberFormat="1" applyFont="1" applyFill="1" applyBorder="1" applyAlignment="1">
      <alignment horizontal="center" vertical="center" wrapText="1"/>
    </xf>
    <xf numFmtId="0" fontId="13" fillId="25" borderId="31" xfId="0" applyFont="1" applyFill="1" applyBorder="1" applyAlignment="1">
      <alignment horizontal="center" vertical="center"/>
    </xf>
    <xf numFmtId="0" fontId="13" fillId="25" borderId="31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/>
    </xf>
    <xf numFmtId="171" fontId="13" fillId="25" borderId="13" xfId="2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/>
    </xf>
    <xf numFmtId="0" fontId="13" fillId="25" borderId="13" xfId="0" applyFont="1" applyFill="1" applyBorder="1" applyAlignment="1">
      <alignment horizontal="center"/>
    </xf>
    <xf numFmtId="0" fontId="13" fillId="25" borderId="49" xfId="0" applyFont="1" applyFill="1" applyBorder="1" applyAlignment="1">
      <alignment horizontal="center" vertical="center" wrapText="1"/>
    </xf>
    <xf numFmtId="0" fontId="13" fillId="25" borderId="15" xfId="0" applyFont="1" applyFill="1" applyBorder="1" applyAlignment="1">
      <alignment horizontal="center" vertical="center" wrapText="1"/>
    </xf>
    <xf numFmtId="170" fontId="13" fillId="26" borderId="16" xfId="0" applyNumberFormat="1" applyFont="1" applyFill="1" applyBorder="1" applyAlignment="1">
      <alignment horizontal="right" vertical="center"/>
    </xf>
    <xf numFmtId="1" fontId="8" fillId="0" borderId="0" xfId="0" applyNumberFormat="1" applyFont="1"/>
    <xf numFmtId="0" fontId="16" fillId="27" borderId="21" xfId="0" applyFont="1" applyFill="1" applyBorder="1" applyAlignment="1">
      <alignment horizontal="center" vertical="center"/>
    </xf>
    <xf numFmtId="0" fontId="16" fillId="27" borderId="25" xfId="0" applyFont="1" applyFill="1" applyBorder="1" applyAlignment="1">
      <alignment horizontal="center" vertical="center" wrapText="1"/>
    </xf>
    <xf numFmtId="0" fontId="16" fillId="27" borderId="25" xfId="0" applyFont="1" applyFill="1" applyBorder="1" applyAlignment="1">
      <alignment horizontal="center" wrapText="1"/>
    </xf>
    <xf numFmtId="0" fontId="16" fillId="27" borderId="2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41" fontId="0" fillId="0" borderId="14" xfId="7" applyFont="1" applyBorder="1"/>
    <xf numFmtId="0" fontId="0" fillId="0" borderId="15" xfId="0" applyBorder="1" applyAlignment="1">
      <alignment horizontal="center"/>
    </xf>
    <xf numFmtId="41" fontId="0" fillId="0" borderId="16" xfId="7" applyFont="1" applyBorder="1"/>
    <xf numFmtId="41" fontId="0" fillId="0" borderId="23" xfId="7" applyFont="1" applyBorder="1"/>
    <xf numFmtId="15" fontId="16" fillId="29" borderId="40" xfId="10" applyNumberFormat="1" applyFont="1" applyFill="1" applyBorder="1"/>
    <xf numFmtId="17" fontId="16" fillId="29" borderId="40" xfId="10" applyNumberFormat="1" applyFont="1" applyFill="1" applyBorder="1"/>
    <xf numFmtId="165" fontId="0" fillId="2" borderId="40" xfId="10" applyFont="1" applyFill="1" applyBorder="1" applyAlignment="1">
      <alignment wrapText="1"/>
    </xf>
    <xf numFmtId="171" fontId="0" fillId="2" borderId="40" xfId="0" applyNumberFormat="1" applyFill="1" applyBorder="1"/>
    <xf numFmtId="165" fontId="0" fillId="0" borderId="40" xfId="10" applyFont="1" applyBorder="1"/>
    <xf numFmtId="171" fontId="0" fillId="2" borderId="40" xfId="0" applyNumberFormat="1" applyFill="1" applyBorder="1" applyAlignment="1">
      <alignment wrapText="1"/>
    </xf>
    <xf numFmtId="165" fontId="0" fillId="0" borderId="40" xfId="10" applyFont="1" applyFill="1" applyBorder="1" applyAlignment="1">
      <alignment vertical="center"/>
    </xf>
    <xf numFmtId="165" fontId="49" fillId="0" borderId="40" xfId="10" applyFont="1" applyBorder="1" applyAlignment="1">
      <alignment vertical="center"/>
    </xf>
    <xf numFmtId="165" fontId="16" fillId="29" borderId="40" xfId="10" applyFont="1" applyFill="1" applyBorder="1"/>
    <xf numFmtId="0" fontId="55" fillId="28" borderId="40" xfId="0" applyFont="1" applyFill="1" applyBorder="1" applyAlignment="1">
      <alignment horizontal="center" vertical="center"/>
    </xf>
    <xf numFmtId="9" fontId="0" fillId="0" borderId="0" xfId="8" applyFont="1"/>
    <xf numFmtId="165" fontId="16" fillId="0" borderId="40" xfId="10" applyFont="1" applyBorder="1"/>
    <xf numFmtId="165" fontId="62" fillId="30" borderId="40" xfId="10" applyFont="1" applyFill="1" applyBorder="1" applyAlignment="1">
      <alignment vertical="center"/>
    </xf>
    <xf numFmtId="9" fontId="16" fillId="30" borderId="40" xfId="8" applyFont="1" applyFill="1" applyBorder="1"/>
    <xf numFmtId="0" fontId="2" fillId="30" borderId="0" xfId="0" applyFont="1" applyFill="1" applyAlignment="1">
      <alignment horizontal="center" vertical="center"/>
    </xf>
    <xf numFmtId="178" fontId="22" fillId="12" borderId="33" xfId="2" applyNumberFormat="1" applyFont="1" applyFill="1" applyBorder="1" applyAlignment="1">
      <alignment horizontal="center" vertical="center"/>
    </xf>
    <xf numFmtId="170" fontId="2" fillId="2" borderId="2" xfId="1" applyFont="1" applyFill="1" applyBorder="1" applyAlignment="1">
      <alignment horizontal="center" vertical="center"/>
    </xf>
    <xf numFmtId="3" fontId="10" fillId="11" borderId="53" xfId="0" applyNumberFormat="1" applyFont="1" applyFill="1" applyBorder="1" applyAlignment="1">
      <alignment vertical="center"/>
    </xf>
    <xf numFmtId="172" fontId="5" fillId="30" borderId="40" xfId="1" applyNumberFormat="1" applyFont="1" applyFill="1" applyBorder="1" applyAlignment="1">
      <alignment horizontal="center" vertical="center" wrapText="1"/>
    </xf>
    <xf numFmtId="0" fontId="5" fillId="30" borderId="40" xfId="0" applyFont="1" applyFill="1" applyBorder="1" applyAlignment="1">
      <alignment horizontal="center" vertical="center"/>
    </xf>
    <xf numFmtId="0" fontId="10" fillId="30" borderId="40" xfId="0" applyFont="1" applyFill="1" applyBorder="1" applyAlignment="1">
      <alignment horizontal="center" vertical="center" wrapText="1"/>
    </xf>
    <xf numFmtId="172" fontId="2" fillId="2" borderId="40" xfId="1" applyNumberFormat="1" applyFont="1" applyFill="1" applyBorder="1" applyAlignment="1">
      <alignment horizontal="center" vertical="center" wrapText="1"/>
    </xf>
    <xf numFmtId="3" fontId="10" fillId="11" borderId="40" xfId="0" applyNumberFormat="1" applyFont="1" applyFill="1" applyBorder="1" applyAlignment="1">
      <alignment vertical="center"/>
    </xf>
    <xf numFmtId="1" fontId="18" fillId="31" borderId="40" xfId="4" applyNumberFormat="1" applyFont="1" applyFill="1" applyBorder="1" applyAlignment="1">
      <alignment horizontal="center" vertical="center" wrapText="1"/>
    </xf>
    <xf numFmtId="3" fontId="18" fillId="31" borderId="40" xfId="4" applyNumberFormat="1" applyFont="1" applyFill="1" applyBorder="1" applyAlignment="1">
      <alignment vertical="center" wrapText="1"/>
    </xf>
    <xf numFmtId="3" fontId="0" fillId="31" borderId="40" xfId="2" applyNumberFormat="1" applyFont="1" applyFill="1" applyBorder="1" applyAlignment="1">
      <alignment vertical="center"/>
    </xf>
    <xf numFmtId="170" fontId="2" fillId="31" borderId="40" xfId="1" applyFont="1" applyFill="1" applyBorder="1" applyAlignment="1">
      <alignment horizontal="center" vertical="center"/>
    </xf>
    <xf numFmtId="170" fontId="2" fillId="31" borderId="2" xfId="1" applyFont="1" applyFill="1" applyBorder="1" applyAlignment="1">
      <alignment horizontal="center" vertical="center"/>
    </xf>
    <xf numFmtId="15" fontId="2" fillId="31" borderId="40" xfId="0" applyNumberFormat="1" applyFont="1" applyFill="1" applyBorder="1" applyAlignment="1">
      <alignment horizontal="center" vertical="center"/>
    </xf>
    <xf numFmtId="0" fontId="2" fillId="31" borderId="40" xfId="0" applyFont="1" applyFill="1" applyBorder="1" applyAlignment="1">
      <alignment horizontal="center" vertical="center"/>
    </xf>
    <xf numFmtId="0" fontId="16" fillId="31" borderId="13" xfId="0" applyFont="1" applyFill="1" applyBorder="1" applyAlignment="1">
      <alignment horizontal="center" vertical="center"/>
    </xf>
    <xf numFmtId="0" fontId="0" fillId="31" borderId="40" xfId="0" applyFill="1" applyBorder="1" applyAlignment="1">
      <alignment horizontal="center" vertical="center"/>
    </xf>
    <xf numFmtId="0" fontId="16" fillId="27" borderId="13" xfId="0" applyFont="1" applyFill="1" applyBorder="1" applyAlignment="1">
      <alignment horizontal="center" vertical="center"/>
    </xf>
    <xf numFmtId="0" fontId="0" fillId="27" borderId="40" xfId="0" applyFill="1" applyBorder="1" applyAlignment="1">
      <alignment horizontal="center" vertical="center"/>
    </xf>
    <xf numFmtId="1" fontId="18" fillId="27" borderId="40" xfId="4" applyNumberFormat="1" applyFont="1" applyFill="1" applyBorder="1" applyAlignment="1">
      <alignment horizontal="center" vertical="center" wrapText="1"/>
    </xf>
    <xf numFmtId="14" fontId="18" fillId="27" borderId="40" xfId="4" applyNumberFormat="1" applyFont="1" applyFill="1" applyBorder="1" applyAlignment="1">
      <alignment horizontal="center" vertical="center" wrapText="1"/>
    </xf>
    <xf numFmtId="170" fontId="6" fillId="27" borderId="40" xfId="1" applyFont="1" applyFill="1" applyBorder="1" applyAlignment="1">
      <alignment horizontal="center" vertical="center" wrapText="1"/>
    </xf>
    <xf numFmtId="3" fontId="18" fillId="27" borderId="40" xfId="4" applyNumberFormat="1" applyFont="1" applyFill="1" applyBorder="1" applyAlignment="1">
      <alignment vertical="center" wrapText="1"/>
    </xf>
    <xf numFmtId="3" fontId="0" fillId="27" borderId="40" xfId="2" applyNumberFormat="1" applyFont="1" applyFill="1" applyBorder="1" applyAlignment="1">
      <alignment vertical="center"/>
    </xf>
    <xf numFmtId="170" fontId="2" fillId="27" borderId="40" xfId="1" applyFont="1" applyFill="1" applyBorder="1" applyAlignment="1">
      <alignment horizontal="center" vertical="center"/>
    </xf>
    <xf numFmtId="170" fontId="2" fillId="27" borderId="2" xfId="1" applyFont="1" applyFill="1" applyBorder="1" applyAlignment="1">
      <alignment horizontal="center" vertical="center"/>
    </xf>
    <xf numFmtId="15" fontId="2" fillId="27" borderId="4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1" fontId="0" fillId="0" borderId="14" xfId="7" applyFont="1" applyFill="1" applyBorder="1"/>
    <xf numFmtId="0" fontId="8" fillId="0" borderId="0" xfId="0" applyFont="1" applyAlignment="1">
      <alignment horizontal="center" vertical="center" wrapText="1"/>
    </xf>
    <xf numFmtId="41" fontId="8" fillId="0" borderId="0" xfId="7" applyFont="1" applyAlignment="1">
      <alignment vertical="center"/>
    </xf>
    <xf numFmtId="41" fontId="8" fillId="0" borderId="0" xfId="0" applyNumberFormat="1" applyFont="1" applyAlignment="1">
      <alignment horizontal="center" vertical="center"/>
    </xf>
    <xf numFmtId="41" fontId="8" fillId="0" borderId="0" xfId="7" applyFont="1" applyAlignment="1">
      <alignment horizontal="center" vertical="center" wrapText="1"/>
    </xf>
    <xf numFmtId="41" fontId="8" fillId="0" borderId="0" xfId="0" applyNumberFormat="1" applyFont="1" applyAlignment="1">
      <alignment vertical="center"/>
    </xf>
    <xf numFmtId="0" fontId="16" fillId="27" borderId="4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41" fontId="0" fillId="0" borderId="54" xfId="7" applyFont="1" applyBorder="1" applyAlignment="1">
      <alignment horizontal="center"/>
    </xf>
    <xf numFmtId="41" fontId="0" fillId="0" borderId="54" xfId="0" applyNumberFormat="1" applyBorder="1"/>
    <xf numFmtId="0" fontId="0" fillId="0" borderId="54" xfId="0" applyBorder="1" applyAlignment="1">
      <alignment horizontal="center"/>
    </xf>
    <xf numFmtId="41" fontId="0" fillId="0" borderId="54" xfId="7" applyFont="1" applyBorder="1"/>
    <xf numFmtId="9" fontId="2" fillId="2" borderId="0" xfId="8" applyFont="1" applyFill="1" applyAlignment="1">
      <alignment horizontal="center" vertical="center" wrapText="1"/>
    </xf>
    <xf numFmtId="0" fontId="63" fillId="0" borderId="0" xfId="0" applyFont="1"/>
    <xf numFmtId="175" fontId="63" fillId="0" borderId="0" xfId="0" applyNumberFormat="1" applyFont="1"/>
    <xf numFmtId="49" fontId="63" fillId="0" borderId="0" xfId="0" applyNumberFormat="1" applyFont="1"/>
    <xf numFmtId="44" fontId="63" fillId="0" borderId="0" xfId="11" applyFont="1"/>
    <xf numFmtId="0" fontId="63" fillId="2" borderId="54" xfId="0" applyFont="1" applyFill="1" applyBorder="1" applyAlignment="1">
      <alignment vertical="center" wrapText="1"/>
    </xf>
    <xf numFmtId="44" fontId="63" fillId="2" borderId="54" xfId="11" applyFont="1" applyFill="1" applyBorder="1" applyAlignment="1">
      <alignment vertical="center" wrapText="1"/>
    </xf>
    <xf numFmtId="0" fontId="64" fillId="2" borderId="54" xfId="0" applyFont="1" applyFill="1" applyBorder="1" applyAlignment="1">
      <alignment horizontal="left" vertical="center" wrapText="1"/>
    </xf>
    <xf numFmtId="1" fontId="64" fillId="2" borderId="54" xfId="0" applyNumberFormat="1" applyFont="1" applyFill="1" applyBorder="1" applyAlignment="1">
      <alignment horizontal="left" vertical="center" wrapText="1"/>
    </xf>
    <xf numFmtId="49" fontId="63" fillId="0" borderId="0" xfId="0" applyNumberFormat="1" applyFont="1" applyAlignment="1">
      <alignment vertical="center"/>
    </xf>
    <xf numFmtId="0" fontId="63" fillId="2" borderId="54" xfId="0" applyFont="1" applyFill="1" applyBorder="1" applyAlignment="1">
      <alignment vertical="center"/>
    </xf>
    <xf numFmtId="44" fontId="63" fillId="2" borderId="54" xfId="11" applyFont="1" applyFill="1" applyBorder="1" applyAlignment="1">
      <alignment horizontal="right" vertical="center" wrapText="1"/>
    </xf>
    <xf numFmtId="0" fontId="66" fillId="2" borderId="54" xfId="0" applyFont="1" applyFill="1" applyBorder="1" applyAlignment="1">
      <alignment vertical="center" wrapText="1"/>
    </xf>
    <xf numFmtId="44" fontId="66" fillId="2" borderId="54" xfId="11" applyFont="1" applyFill="1" applyBorder="1" applyAlignment="1">
      <alignment vertical="center" wrapText="1"/>
    </xf>
    <xf numFmtId="0" fontId="67" fillId="2" borderId="54" xfId="0" applyFont="1" applyFill="1" applyBorder="1" applyAlignment="1">
      <alignment vertical="center" wrapText="1"/>
    </xf>
    <xf numFmtId="0" fontId="66" fillId="12" borderId="54" xfId="0" applyFont="1" applyFill="1" applyBorder="1" applyAlignment="1">
      <alignment vertical="center" wrapText="1"/>
    </xf>
    <xf numFmtId="44" fontId="66" fillId="12" borderId="54" xfId="11" applyFont="1" applyFill="1" applyBorder="1" applyAlignment="1">
      <alignment vertical="center" wrapText="1"/>
    </xf>
    <xf numFmtId="175" fontId="68" fillId="0" borderId="0" xfId="0" applyNumberFormat="1" applyFont="1"/>
    <xf numFmtId="44" fontId="63" fillId="33" borderId="54" xfId="11" applyFont="1" applyFill="1" applyBorder="1" applyAlignment="1">
      <alignment vertical="center" wrapText="1"/>
    </xf>
    <xf numFmtId="0" fontId="63" fillId="33" borderId="54" xfId="0" applyFont="1" applyFill="1" applyBorder="1" applyAlignment="1">
      <alignment vertical="center" wrapText="1"/>
    </xf>
    <xf numFmtId="0" fontId="64" fillId="33" borderId="54" xfId="0" applyFont="1" applyFill="1" applyBorder="1" applyAlignment="1">
      <alignment horizontal="left" vertical="center" wrapText="1"/>
    </xf>
    <xf numFmtId="1" fontId="64" fillId="33" borderId="54" xfId="0" applyNumberFormat="1" applyFont="1" applyFill="1" applyBorder="1" applyAlignment="1">
      <alignment horizontal="left" vertical="center" wrapText="1"/>
    </xf>
    <xf numFmtId="44" fontId="64" fillId="33" borderId="54" xfId="11" applyFont="1" applyFill="1" applyBorder="1" applyAlignment="1">
      <alignment horizontal="left" vertical="center" wrapText="1"/>
    </xf>
    <xf numFmtId="44" fontId="63" fillId="33" borderId="54" xfId="11" applyFont="1" applyFill="1" applyBorder="1" applyAlignment="1">
      <alignment horizontal="right" vertical="center" wrapText="1"/>
    </xf>
    <xf numFmtId="1" fontId="64" fillId="33" borderId="54" xfId="0" applyNumberFormat="1" applyFont="1" applyFill="1" applyBorder="1" applyAlignment="1">
      <alignment horizontal="center" vertical="center" wrapText="1"/>
    </xf>
    <xf numFmtId="0" fontId="63" fillId="33" borderId="54" xfId="0" applyFont="1" applyFill="1" applyBorder="1" applyAlignment="1">
      <alignment vertical="center"/>
    </xf>
    <xf numFmtId="1" fontId="63" fillId="33" borderId="54" xfId="0" applyNumberFormat="1" applyFont="1" applyFill="1" applyBorder="1" applyAlignment="1">
      <alignment vertical="center" wrapText="1"/>
    </xf>
    <xf numFmtId="49" fontId="66" fillId="12" borderId="54" xfId="0" applyNumberFormat="1" applyFont="1" applyFill="1" applyBorder="1" applyAlignment="1">
      <alignment vertical="center" wrapText="1"/>
    </xf>
    <xf numFmtId="0" fontId="67" fillId="10" borderId="54" xfId="0" applyFont="1" applyFill="1" applyBorder="1" applyAlignment="1">
      <alignment vertical="center" wrapText="1"/>
    </xf>
    <xf numFmtId="0" fontId="63" fillId="34" borderId="0" xfId="0" applyFont="1" applyFill="1"/>
    <xf numFmtId="174" fontId="60" fillId="25" borderId="0" xfId="3" applyNumberFormat="1" applyFont="1" applyFill="1" applyBorder="1" applyAlignment="1">
      <alignment horizontal="center" vertical="center" wrapText="1"/>
    </xf>
    <xf numFmtId="0" fontId="13" fillId="25" borderId="0" xfId="0" applyFont="1" applyFill="1" applyBorder="1" applyAlignment="1">
      <alignment horizontal="center" vertical="center"/>
    </xf>
    <xf numFmtId="170" fontId="33" fillId="0" borderId="0" xfId="0" applyNumberFormat="1" applyFont="1" applyBorder="1"/>
    <xf numFmtId="170" fontId="7" fillId="0" borderId="0" xfId="2" applyNumberFormat="1" applyFont="1" applyFill="1" applyBorder="1" applyAlignment="1">
      <alignment horizontal="right" vertical="center"/>
    </xf>
    <xf numFmtId="170" fontId="8" fillId="0" borderId="0" xfId="0" applyNumberFormat="1" applyFont="1" applyBorder="1" applyAlignment="1">
      <alignment vertical="center"/>
    </xf>
    <xf numFmtId="170" fontId="13" fillId="26" borderId="0" xfId="0" applyNumberFormat="1" applyFont="1" applyFill="1" applyBorder="1" applyAlignment="1">
      <alignment horizontal="right" vertical="center"/>
    </xf>
    <xf numFmtId="166" fontId="8" fillId="0" borderId="54" xfId="0" applyNumberFormat="1" applyFont="1" applyBorder="1" applyAlignment="1">
      <alignment vertical="center"/>
    </xf>
    <xf numFmtId="166" fontId="8" fillId="0" borderId="54" xfId="0" applyNumberFormat="1" applyFont="1" applyBorder="1" applyAlignment="1">
      <alignment horizontal="center" vertical="center"/>
    </xf>
    <xf numFmtId="175" fontId="65" fillId="0" borderId="0" xfId="0" applyNumberFormat="1" applyFont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 wrapText="1"/>
    </xf>
    <xf numFmtId="41" fontId="0" fillId="0" borderId="54" xfId="7" applyFont="1" applyFill="1" applyBorder="1" applyAlignment="1">
      <alignment horizontal="center"/>
    </xf>
    <xf numFmtId="0" fontId="0" fillId="0" borderId="54" xfId="0" applyBorder="1"/>
    <xf numFmtId="41" fontId="16" fillId="8" borderId="54" xfId="7" applyFont="1" applyFill="1" applyBorder="1" applyAlignment="1">
      <alignment horizontal="center"/>
    </xf>
    <xf numFmtId="1" fontId="69" fillId="2" borderId="40" xfId="4" applyNumberFormat="1" applyFont="1" applyFill="1" applyBorder="1" applyAlignment="1">
      <alignment horizontal="center" vertical="center" wrapText="1"/>
    </xf>
    <xf numFmtId="1" fontId="40" fillId="10" borderId="40" xfId="0" applyNumberFormat="1" applyFont="1" applyFill="1" applyBorder="1" applyAlignment="1">
      <alignment horizontal="center" vertical="center" wrapText="1"/>
    </xf>
    <xf numFmtId="0" fontId="35" fillId="10" borderId="40" xfId="0" applyFont="1" applyFill="1" applyBorder="1" applyAlignment="1">
      <alignment horizontal="left" vertical="center" wrapText="1"/>
    </xf>
    <xf numFmtId="5" fontId="70" fillId="35" borderId="56" xfId="0" applyNumberFormat="1" applyFont="1" applyFill="1" applyBorder="1" applyAlignment="1">
      <alignment wrapText="1"/>
    </xf>
    <xf numFmtId="9" fontId="2" fillId="2" borderId="0" xfId="0" applyNumberFormat="1" applyFont="1" applyFill="1" applyAlignment="1">
      <alignment horizontal="center" vertical="center" wrapText="1"/>
    </xf>
    <xf numFmtId="41" fontId="2" fillId="2" borderId="0" xfId="7" applyFont="1" applyFill="1" applyAlignment="1">
      <alignment horizontal="center" vertical="center" wrapText="1"/>
    </xf>
    <xf numFmtId="0" fontId="0" fillId="2" borderId="54" xfId="0" applyFill="1" applyBorder="1" applyAlignment="1">
      <alignment horizontal="center" vertical="center"/>
    </xf>
    <xf numFmtId="1" fontId="18" fillId="2" borderId="54" xfId="4" applyNumberFormat="1" applyFont="1" applyFill="1" applyBorder="1" applyAlignment="1">
      <alignment horizontal="center" vertical="center" wrapText="1"/>
    </xf>
    <xf numFmtId="170" fontId="6" fillId="2" borderId="54" xfId="1" applyFont="1" applyFill="1" applyBorder="1" applyAlignment="1">
      <alignment horizontal="center" vertical="center" wrapText="1"/>
    </xf>
    <xf numFmtId="3" fontId="18" fillId="2" borderId="54" xfId="4" applyNumberFormat="1" applyFont="1" applyFill="1" applyBorder="1" applyAlignment="1">
      <alignment vertical="center" wrapText="1"/>
    </xf>
    <xf numFmtId="3" fontId="0" fillId="2" borderId="54" xfId="2" applyNumberFormat="1" applyFont="1" applyFill="1" applyBorder="1" applyAlignment="1">
      <alignment vertical="center"/>
    </xf>
    <xf numFmtId="170" fontId="2" fillId="2" borderId="54" xfId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172" fontId="2" fillId="2" borderId="54" xfId="1" applyNumberFormat="1" applyFont="1" applyFill="1" applyBorder="1" applyAlignment="1">
      <alignment horizontal="center" vertical="center" wrapText="1"/>
    </xf>
    <xf numFmtId="1" fontId="18" fillId="31" borderId="2" xfId="4" applyNumberFormat="1" applyFont="1" applyFill="1" applyBorder="1" applyAlignment="1">
      <alignment horizontal="center" vertical="center" wrapText="1"/>
    </xf>
    <xf numFmtId="0" fontId="35" fillId="2" borderId="57" xfId="0" applyFont="1" applyFill="1" applyBorder="1" applyAlignment="1">
      <alignment horizontal="left" vertical="center" wrapText="1"/>
    </xf>
    <xf numFmtId="0" fontId="35" fillId="31" borderId="57" xfId="0" applyFont="1" applyFill="1" applyBorder="1" applyAlignment="1">
      <alignment horizontal="left" vertical="center" wrapText="1"/>
    </xf>
    <xf numFmtId="1" fontId="18" fillId="10" borderId="58" xfId="4" applyNumberFormat="1" applyFont="1" applyFill="1" applyBorder="1" applyAlignment="1">
      <alignment horizontal="center" vertical="center" wrapText="1"/>
    </xf>
    <xf numFmtId="0" fontId="35" fillId="10" borderId="58" xfId="0" applyFont="1" applyFill="1" applyBorder="1" applyAlignment="1">
      <alignment horizontal="left" vertical="center" wrapText="1"/>
    </xf>
    <xf numFmtId="1" fontId="26" fillId="2" borderId="58" xfId="4" applyNumberFormat="1" applyFont="1" applyFill="1" applyBorder="1" applyAlignment="1">
      <alignment horizontal="center" vertical="center" wrapText="1"/>
    </xf>
    <xf numFmtId="170" fontId="6" fillId="2" borderId="58" xfId="1" applyFont="1" applyFill="1" applyBorder="1" applyAlignment="1">
      <alignment horizontal="center" vertical="center" wrapText="1"/>
    </xf>
    <xf numFmtId="0" fontId="35" fillId="2" borderId="58" xfId="0" applyFont="1" applyFill="1" applyBorder="1" applyAlignment="1">
      <alignment horizontal="left" vertical="center" wrapText="1"/>
    </xf>
    <xf numFmtId="1" fontId="18" fillId="27" borderId="18" xfId="4" applyNumberFormat="1" applyFont="1" applyFill="1" applyBorder="1" applyAlignment="1">
      <alignment horizontal="center" vertical="center" wrapText="1"/>
    </xf>
    <xf numFmtId="0" fontId="35" fillId="27" borderId="18" xfId="0" applyFont="1" applyFill="1" applyBorder="1" applyAlignment="1">
      <alignment horizontal="left" vertical="center" wrapText="1"/>
    </xf>
    <xf numFmtId="1" fontId="26" fillId="2" borderId="59" xfId="4" applyNumberFormat="1" applyFont="1" applyFill="1" applyBorder="1" applyAlignment="1">
      <alignment horizontal="center" vertical="center" wrapText="1"/>
    </xf>
    <xf numFmtId="1" fontId="26" fillId="2" borderId="60" xfId="4" applyNumberFormat="1" applyFont="1" applyFill="1" applyBorder="1" applyAlignment="1">
      <alignment horizontal="center" vertical="center" wrapText="1"/>
    </xf>
    <xf numFmtId="1" fontId="26" fillId="2" borderId="61" xfId="4" applyNumberFormat="1" applyFont="1" applyFill="1" applyBorder="1" applyAlignment="1">
      <alignment horizontal="center" vertical="center" wrapText="1"/>
    </xf>
    <xf numFmtId="1" fontId="18" fillId="2" borderId="62" xfId="4" applyNumberFormat="1" applyFont="1" applyFill="1" applyBorder="1" applyAlignment="1">
      <alignment horizontal="center" vertical="center" wrapText="1"/>
    </xf>
    <xf numFmtId="0" fontId="35" fillId="2" borderId="63" xfId="0" applyFont="1" applyFill="1" applyBorder="1" applyAlignment="1">
      <alignment horizontal="left" vertical="center" wrapText="1"/>
    </xf>
    <xf numFmtId="170" fontId="6" fillId="2" borderId="63" xfId="1" applyFont="1" applyFill="1" applyBorder="1" applyAlignment="1">
      <alignment horizontal="center" vertical="center" wrapText="1"/>
    </xf>
    <xf numFmtId="14" fontId="6" fillId="2" borderId="63" xfId="1" applyNumberFormat="1" applyFont="1" applyFill="1" applyBorder="1" applyAlignment="1">
      <alignment horizontal="center" vertical="center" wrapText="1"/>
    </xf>
    <xf numFmtId="14" fontId="6" fillId="2" borderId="64" xfId="1" applyNumberFormat="1" applyFont="1" applyFill="1" applyBorder="1" applyAlignment="1">
      <alignment horizontal="center" vertical="center" wrapText="1"/>
    </xf>
    <xf numFmtId="170" fontId="2" fillId="2" borderId="0" xfId="0" applyNumberFormat="1" applyFont="1" applyFill="1" applyAlignment="1">
      <alignment horizontal="center" vertical="center"/>
    </xf>
    <xf numFmtId="41" fontId="2" fillId="2" borderId="0" xfId="0" applyNumberFormat="1" applyFont="1" applyFill="1" applyAlignment="1">
      <alignment horizontal="center" vertical="center" wrapText="1"/>
    </xf>
    <xf numFmtId="165" fontId="0" fillId="0" borderId="0" xfId="10" applyFont="1"/>
    <xf numFmtId="165" fontId="0" fillId="0" borderId="0" xfId="0" applyNumberFormat="1"/>
    <xf numFmtId="41" fontId="0" fillId="2" borderId="54" xfId="7" applyFont="1" applyFill="1" applyBorder="1" applyAlignment="1">
      <alignment vertical="center"/>
    </xf>
    <xf numFmtId="41" fontId="16" fillId="36" borderId="54" xfId="7" applyFont="1" applyFill="1" applyBorder="1" applyAlignment="1">
      <alignment horizontal="center"/>
    </xf>
    <xf numFmtId="41" fontId="0" fillId="2" borderId="14" xfId="7" applyFont="1" applyFill="1" applyBorder="1" applyAlignment="1">
      <alignment horizontal="center" vertical="center"/>
    </xf>
    <xf numFmtId="41" fontId="0" fillId="2" borderId="14" xfId="7" applyFont="1" applyFill="1" applyBorder="1" applyAlignment="1">
      <alignment vertical="center"/>
    </xf>
    <xf numFmtId="0" fontId="0" fillId="0" borderId="58" xfId="0" applyBorder="1"/>
    <xf numFmtId="41" fontId="0" fillId="0" borderId="18" xfId="7" applyFont="1" applyBorder="1" applyAlignment="1">
      <alignment vertical="center"/>
    </xf>
    <xf numFmtId="0" fontId="57" fillId="23" borderId="22" xfId="0" applyFont="1" applyFill="1" applyBorder="1" applyAlignment="1">
      <alignment horizontal="center" vertical="center" wrapText="1"/>
    </xf>
    <xf numFmtId="0" fontId="57" fillId="23" borderId="14" xfId="0" applyFont="1" applyFill="1" applyBorder="1" applyAlignment="1">
      <alignment horizontal="center" vertical="center"/>
    </xf>
    <xf numFmtId="0" fontId="56" fillId="23" borderId="13" xfId="0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horizontal="center"/>
    </xf>
    <xf numFmtId="41" fontId="16" fillId="8" borderId="14" xfId="7" applyFont="1" applyFill="1" applyBorder="1" applyAlignment="1">
      <alignment horizontal="center"/>
    </xf>
    <xf numFmtId="0" fontId="58" fillId="24" borderId="13" xfId="0" applyFont="1" applyFill="1" applyBorder="1" applyAlignment="1">
      <alignment vertical="center" wrapText="1"/>
    </xf>
    <xf numFmtId="41" fontId="0" fillId="0" borderId="14" xfId="7" applyFont="1" applyFill="1" applyBorder="1" applyAlignment="1">
      <alignment horizontal="center"/>
    </xf>
    <xf numFmtId="41" fontId="0" fillId="0" borderId="14" xfId="7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/>
    </xf>
    <xf numFmtId="41" fontId="0" fillId="0" borderId="14" xfId="7" applyFont="1" applyBorder="1" applyAlignment="1">
      <alignment vertical="center"/>
    </xf>
    <xf numFmtId="41" fontId="0" fillId="0" borderId="14" xfId="7" applyFont="1" applyBorder="1" applyAlignment="1">
      <alignment horizontal="center" vertical="center"/>
    </xf>
    <xf numFmtId="0" fontId="59" fillId="36" borderId="13" xfId="0" applyFont="1" applyFill="1" applyBorder="1" applyAlignment="1">
      <alignment horizontal="center" vertical="center" wrapText="1"/>
    </xf>
    <xf numFmtId="41" fontId="16" fillId="36" borderId="14" xfId="7" applyFont="1" applyFill="1" applyBorder="1" applyAlignment="1">
      <alignment horizontal="center" vertical="center"/>
    </xf>
    <xf numFmtId="0" fontId="0" fillId="0" borderId="14" xfId="0" applyBorder="1"/>
    <xf numFmtId="41" fontId="16" fillId="36" borderId="14" xfId="7" applyFont="1" applyFill="1" applyBorder="1" applyAlignment="1">
      <alignment horizontal="center"/>
    </xf>
    <xf numFmtId="3" fontId="58" fillId="24" borderId="13" xfId="0" applyNumberFormat="1" applyFont="1" applyFill="1" applyBorder="1" applyAlignment="1">
      <alignment vertical="center" wrapText="1"/>
    </xf>
    <xf numFmtId="41" fontId="0" fillId="2" borderId="54" xfId="7" applyFont="1" applyFill="1" applyBorder="1" applyAlignment="1">
      <alignment horizontal="center" vertical="center"/>
    </xf>
    <xf numFmtId="41" fontId="0" fillId="2" borderId="14" xfId="7" applyFont="1" applyFill="1" applyBorder="1"/>
    <xf numFmtId="0" fontId="16" fillId="3" borderId="13" xfId="0" applyFont="1" applyFill="1" applyBorder="1"/>
    <xf numFmtId="41" fontId="16" fillId="3" borderId="14" xfId="0" applyNumberFormat="1" applyFont="1" applyFill="1" applyBorder="1"/>
    <xf numFmtId="0" fontId="16" fillId="8" borderId="15" xfId="0" applyFont="1" applyFill="1" applyBorder="1"/>
    <xf numFmtId="41" fontId="16" fillId="8" borderId="16" xfId="0" applyNumberFormat="1" applyFont="1" applyFill="1" applyBorder="1"/>
    <xf numFmtId="4" fontId="2" fillId="2" borderId="4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5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5" fontId="70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166" fontId="8" fillId="0" borderId="2" xfId="0" applyNumberFormat="1" applyFont="1" applyBorder="1"/>
    <xf numFmtId="166" fontId="8" fillId="0" borderId="0" xfId="0" applyNumberFormat="1" applyFont="1" applyBorder="1"/>
    <xf numFmtId="166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/>
    <xf numFmtId="166" fontId="8" fillId="0" borderId="54" xfId="0" applyNumberFormat="1" applyFont="1" applyBorder="1"/>
    <xf numFmtId="0" fontId="5" fillId="25" borderId="13" xfId="0" applyFont="1" applyFill="1" applyBorder="1" applyAlignment="1">
      <alignment horizontal="center" vertical="center" wrapText="1"/>
    </xf>
    <xf numFmtId="41" fontId="71" fillId="8" borderId="23" xfId="0" applyNumberFormat="1" applyFont="1" applyFill="1" applyBorder="1"/>
    <xf numFmtId="41" fontId="55" fillId="23" borderId="54" xfId="7" applyFont="1" applyFill="1" applyBorder="1" applyAlignment="1">
      <alignment horizontal="center" vertical="center" wrapText="1"/>
    </xf>
    <xf numFmtId="172" fontId="0" fillId="0" borderId="0" xfId="1" applyNumberFormat="1" applyFont="1"/>
    <xf numFmtId="41" fontId="0" fillId="0" borderId="0" xfId="7" applyFont="1" applyFill="1" applyBorder="1" applyAlignment="1">
      <alignment vertical="center"/>
    </xf>
    <xf numFmtId="41" fontId="16" fillId="0" borderId="0" xfId="0" applyNumberFormat="1" applyFont="1" applyFill="1" applyBorder="1"/>
    <xf numFmtId="41" fontId="0" fillId="0" borderId="0" xfId="7" applyFont="1" applyFill="1" applyBorder="1" applyAlignment="1">
      <alignment horizontal="center" vertical="center"/>
    </xf>
    <xf numFmtId="41" fontId="0" fillId="0" borderId="0" xfId="7" applyFont="1" applyFill="1" applyBorder="1"/>
    <xf numFmtId="0" fontId="0" fillId="0" borderId="0" xfId="0" applyFill="1" applyBorder="1"/>
    <xf numFmtId="172" fontId="16" fillId="8" borderId="54" xfId="1" applyNumberFormat="1" applyFont="1" applyFill="1" applyBorder="1" applyAlignment="1">
      <alignment horizontal="center"/>
    </xf>
    <xf numFmtId="172" fontId="55" fillId="23" borderId="54" xfId="1" applyNumberFormat="1" applyFont="1" applyFill="1" applyBorder="1" applyAlignment="1">
      <alignment horizontal="center" vertical="center" wrapText="1"/>
    </xf>
    <xf numFmtId="172" fontId="1" fillId="0" borderId="54" xfId="1" applyNumberFormat="1" applyFont="1" applyBorder="1"/>
    <xf numFmtId="172" fontId="1" fillId="0" borderId="54" xfId="1" applyNumberFormat="1" applyFont="1" applyFill="1" applyBorder="1"/>
    <xf numFmtId="172" fontId="0" fillId="0" borderId="54" xfId="1" applyNumberFormat="1" applyFont="1" applyBorder="1" applyAlignment="1">
      <alignment wrapText="1"/>
    </xf>
    <xf numFmtId="0" fontId="72" fillId="0" borderId="54" xfId="0" applyFont="1" applyBorder="1" applyAlignment="1">
      <alignment horizontal="left" vertical="center" wrapText="1"/>
    </xf>
    <xf numFmtId="172" fontId="17" fillId="0" borderId="54" xfId="1" applyNumberFormat="1" applyFont="1" applyFill="1" applyBorder="1" applyAlignment="1">
      <alignment horizontal="center" vertical="center"/>
    </xf>
    <xf numFmtId="172" fontId="1" fillId="37" borderId="54" xfId="1" applyNumberFormat="1" applyFont="1" applyFill="1" applyBorder="1"/>
    <xf numFmtId="0" fontId="72" fillId="0" borderId="54" xfId="0" applyFont="1" applyFill="1" applyBorder="1" applyAlignment="1">
      <alignment horizontal="left" vertical="center" wrapText="1"/>
    </xf>
    <xf numFmtId="41" fontId="1" fillId="0" borderId="0" xfId="7" applyFont="1" applyFill="1" applyBorder="1" applyAlignment="1">
      <alignment vertical="center"/>
    </xf>
    <xf numFmtId="172" fontId="17" fillId="37" borderId="54" xfId="1" applyNumberFormat="1" applyFont="1" applyFill="1" applyBorder="1" applyAlignment="1">
      <alignment horizontal="center" vertical="center"/>
    </xf>
    <xf numFmtId="41" fontId="1" fillId="0" borderId="0" xfId="7" applyFont="1" applyFill="1" applyBorder="1" applyAlignment="1">
      <alignment horizontal="center" vertical="center"/>
    </xf>
    <xf numFmtId="41" fontId="0" fillId="0" borderId="0" xfId="7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 horizontal="center"/>
    </xf>
    <xf numFmtId="172" fontId="16" fillId="29" borderId="54" xfId="1" applyNumberFormat="1" applyFont="1" applyFill="1" applyBorder="1" applyAlignment="1">
      <alignment horizontal="center"/>
    </xf>
    <xf numFmtId="0" fontId="16" fillId="29" borderId="54" xfId="0" applyFont="1" applyFill="1" applyBorder="1" applyAlignment="1">
      <alignment horizontal="center"/>
    </xf>
    <xf numFmtId="172" fontId="57" fillId="23" borderId="54" xfId="1" applyNumberFormat="1" applyFont="1" applyFill="1" applyBorder="1" applyAlignment="1">
      <alignment horizontal="center" vertical="center"/>
    </xf>
    <xf numFmtId="172" fontId="57" fillId="23" borderId="54" xfId="1" applyNumberFormat="1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/>
    </xf>
    <xf numFmtId="0" fontId="61" fillId="38" borderId="21" xfId="0" applyFont="1" applyFill="1" applyBorder="1" applyAlignment="1">
      <alignment horizontal="center" vertical="center"/>
    </xf>
    <xf numFmtId="0" fontId="61" fillId="38" borderId="25" xfId="0" applyFont="1" applyFill="1" applyBorder="1" applyAlignment="1">
      <alignment horizontal="center" vertical="center"/>
    </xf>
    <xf numFmtId="0" fontId="61" fillId="38" borderId="25" xfId="0" applyFont="1" applyFill="1" applyBorder="1" applyAlignment="1">
      <alignment horizontal="center" vertical="center" wrapText="1"/>
    </xf>
    <xf numFmtId="178" fontId="61" fillId="38" borderId="25" xfId="2" applyNumberFormat="1" applyFont="1" applyFill="1" applyBorder="1" applyAlignment="1">
      <alignment horizontal="center" vertical="center" wrapText="1"/>
    </xf>
    <xf numFmtId="178" fontId="61" fillId="38" borderId="22" xfId="2" applyNumberFormat="1" applyFont="1" applyFill="1" applyBorder="1" applyAlignment="1">
      <alignment horizontal="center" vertical="center" wrapText="1"/>
    </xf>
    <xf numFmtId="176" fontId="74" fillId="38" borderId="16" xfId="0" applyNumberFormat="1" applyFont="1" applyFill="1" applyBorder="1" applyAlignment="1">
      <alignment vertical="center"/>
    </xf>
    <xf numFmtId="176" fontId="74" fillId="38" borderId="23" xfId="0" applyNumberFormat="1" applyFont="1" applyFill="1" applyBorder="1" applyAlignment="1">
      <alignment vertical="center"/>
    </xf>
    <xf numFmtId="176" fontId="2" fillId="0" borderId="40" xfId="0" applyNumberFormat="1" applyFont="1" applyBorder="1" applyAlignment="1">
      <alignment horizontal="center" vertical="center"/>
    </xf>
    <xf numFmtId="176" fontId="35" fillId="2" borderId="40" xfId="7" applyNumberFormat="1" applyFont="1" applyFill="1" applyBorder="1" applyAlignment="1">
      <alignment horizontal="left" vertical="center" wrapText="1"/>
    </xf>
    <xf numFmtId="176" fontId="6" fillId="2" borderId="40" xfId="1" applyNumberFormat="1" applyFont="1" applyFill="1" applyBorder="1" applyAlignment="1">
      <alignment horizontal="center" vertical="center" wrapText="1"/>
    </xf>
    <xf numFmtId="176" fontId="2" fillId="2" borderId="40" xfId="1" applyNumberFormat="1" applyFont="1" applyFill="1" applyBorder="1" applyAlignment="1">
      <alignment horizontal="center" vertical="center"/>
    </xf>
    <xf numFmtId="176" fontId="0" fillId="2" borderId="40" xfId="2" applyNumberFormat="1" applyFont="1" applyFill="1" applyBorder="1" applyAlignment="1">
      <alignment vertical="center"/>
    </xf>
    <xf numFmtId="176" fontId="2" fillId="2" borderId="14" xfId="1" applyNumberFormat="1" applyFont="1" applyFill="1" applyBorder="1" applyAlignment="1">
      <alignment vertical="center"/>
    </xf>
    <xf numFmtId="176" fontId="2" fillId="2" borderId="40" xfId="7" applyNumberFormat="1" applyFont="1" applyFill="1" applyBorder="1" applyAlignment="1">
      <alignment horizontal="center" vertical="center"/>
    </xf>
    <xf numFmtId="176" fontId="35" fillId="2" borderId="40" xfId="0" applyNumberFormat="1" applyFont="1" applyFill="1" applyBorder="1" applyAlignment="1">
      <alignment horizontal="left" vertical="center" wrapText="1"/>
    </xf>
    <xf numFmtId="176" fontId="18" fillId="2" borderId="40" xfId="4" applyNumberFormat="1" applyFont="1" applyFill="1" applyBorder="1" applyAlignment="1">
      <alignment vertical="center" wrapText="1"/>
    </xf>
    <xf numFmtId="0" fontId="76" fillId="2" borderId="0" xfId="0" applyFont="1" applyFill="1" applyBorder="1" applyAlignment="1">
      <alignment horizontal="center" vertical="center"/>
    </xf>
    <xf numFmtId="0" fontId="74" fillId="2" borderId="0" xfId="0" applyFont="1" applyFill="1" applyBorder="1" applyAlignment="1">
      <alignment horizontal="center" vertical="center"/>
    </xf>
    <xf numFmtId="3" fontId="76" fillId="2" borderId="0" xfId="0" applyNumberFormat="1" applyFont="1" applyFill="1" applyBorder="1" applyAlignment="1">
      <alignment horizontal="center" vertical="center"/>
    </xf>
    <xf numFmtId="3" fontId="74" fillId="2" borderId="0" xfId="0" applyNumberFormat="1" applyFont="1" applyFill="1" applyBorder="1" applyAlignment="1">
      <alignment horizontal="center" vertical="center"/>
    </xf>
    <xf numFmtId="0" fontId="35" fillId="2" borderId="4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/>
    </xf>
    <xf numFmtId="174" fontId="32" fillId="4" borderId="5" xfId="3" applyNumberFormat="1" applyFont="1" applyFill="1" applyBorder="1" applyAlignment="1">
      <alignment horizontal="center" vertical="center" wrapText="1"/>
    </xf>
    <xf numFmtId="174" fontId="32" fillId="4" borderId="6" xfId="3" applyNumberFormat="1" applyFont="1" applyFill="1" applyBorder="1" applyAlignment="1">
      <alignment horizontal="center" vertical="center" wrapText="1"/>
    </xf>
    <xf numFmtId="0" fontId="10" fillId="11" borderId="30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74" fontId="32" fillId="14" borderId="33" xfId="3" applyNumberFormat="1" applyFont="1" applyFill="1" applyBorder="1" applyAlignment="1">
      <alignment horizontal="center" vertical="center" wrapText="1"/>
    </xf>
    <xf numFmtId="174" fontId="32" fillId="14" borderId="34" xfId="3" applyNumberFormat="1" applyFont="1" applyFill="1" applyBorder="1" applyAlignment="1">
      <alignment horizontal="center" vertical="center" wrapText="1"/>
    </xf>
    <xf numFmtId="174" fontId="32" fillId="14" borderId="35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74" fontId="32" fillId="19" borderId="33" xfId="3" applyNumberFormat="1" applyFont="1" applyFill="1" applyBorder="1" applyAlignment="1">
      <alignment horizontal="center" vertical="center" wrapText="1"/>
    </xf>
    <xf numFmtId="174" fontId="32" fillId="19" borderId="34" xfId="3" applyNumberFormat="1" applyFont="1" applyFill="1" applyBorder="1" applyAlignment="1">
      <alignment horizontal="center" vertical="center" wrapText="1"/>
    </xf>
    <xf numFmtId="174" fontId="32" fillId="19" borderId="35" xfId="3" applyNumberFormat="1" applyFont="1" applyFill="1" applyBorder="1" applyAlignment="1">
      <alignment horizontal="center" vertical="center" wrapText="1"/>
    </xf>
    <xf numFmtId="41" fontId="8" fillId="0" borderId="0" xfId="7" applyFont="1" applyAlignment="1">
      <alignment horizontal="center" vertical="center"/>
    </xf>
    <xf numFmtId="43" fontId="22" fillId="11" borderId="52" xfId="0" applyNumberFormat="1" applyFont="1" applyFill="1" applyBorder="1" applyAlignment="1">
      <alignment horizontal="center" vertical="center"/>
    </xf>
    <xf numFmtId="43" fontId="22" fillId="11" borderId="50" xfId="0" applyNumberFormat="1" applyFont="1" applyFill="1" applyBorder="1" applyAlignment="1">
      <alignment horizontal="center" vertical="center"/>
    </xf>
    <xf numFmtId="43" fontId="22" fillId="11" borderId="51" xfId="0" applyNumberFormat="1" applyFont="1" applyFill="1" applyBorder="1" applyAlignment="1">
      <alignment horizontal="center" vertical="center"/>
    </xf>
    <xf numFmtId="43" fontId="22" fillId="0" borderId="52" xfId="0" applyNumberFormat="1" applyFont="1" applyBorder="1" applyAlignment="1">
      <alignment horizontal="center" vertical="center"/>
    </xf>
    <xf numFmtId="43" fontId="22" fillId="0" borderId="50" xfId="0" applyNumberFormat="1" applyFont="1" applyBorder="1" applyAlignment="1">
      <alignment horizontal="center" vertical="center"/>
    </xf>
    <xf numFmtId="43" fontId="22" fillId="0" borderId="51" xfId="0" applyNumberFormat="1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56" fillId="23" borderId="21" xfId="0" applyFont="1" applyFill="1" applyBorder="1" applyAlignment="1">
      <alignment horizontal="center" vertical="center"/>
    </xf>
    <xf numFmtId="0" fontId="56" fillId="23" borderId="13" xfId="0" applyFont="1" applyFill="1" applyBorder="1" applyAlignment="1">
      <alignment horizontal="center" vertical="center"/>
    </xf>
    <xf numFmtId="0" fontId="55" fillId="23" borderId="25" xfId="0" applyFont="1" applyFill="1" applyBorder="1" applyAlignment="1">
      <alignment horizontal="center" vertical="center" wrapText="1"/>
    </xf>
    <xf numFmtId="0" fontId="55" fillId="23" borderId="54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/>
    </xf>
    <xf numFmtId="0" fontId="16" fillId="8" borderId="54" xfId="0" applyFont="1" applyFill="1" applyBorder="1" applyAlignment="1">
      <alignment horizontal="center"/>
    </xf>
    <xf numFmtId="0" fontId="16" fillId="8" borderId="14" xfId="0" applyFont="1" applyFill="1" applyBorder="1" applyAlignment="1">
      <alignment horizontal="center"/>
    </xf>
    <xf numFmtId="0" fontId="61" fillId="28" borderId="7" xfId="0" applyFont="1" applyFill="1" applyBorder="1" applyAlignment="1">
      <alignment horizontal="center"/>
    </xf>
    <xf numFmtId="0" fontId="61" fillId="28" borderId="8" xfId="0" applyFont="1" applyFill="1" applyBorder="1" applyAlignment="1">
      <alignment horizontal="center"/>
    </xf>
    <xf numFmtId="0" fontId="16" fillId="29" borderId="2" xfId="0" applyFont="1" applyFill="1" applyBorder="1" applyAlignment="1">
      <alignment horizontal="center"/>
    </xf>
    <xf numFmtId="0" fontId="16" fillId="29" borderId="11" xfId="0" applyFont="1" applyFill="1" applyBorder="1" applyAlignment="1">
      <alignment horizontal="center"/>
    </xf>
    <xf numFmtId="0" fontId="16" fillId="29" borderId="4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49" fillId="0" borderId="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16" fillId="30" borderId="2" xfId="0" applyFont="1" applyFill="1" applyBorder="1" applyAlignment="1">
      <alignment horizontal="center"/>
    </xf>
    <xf numFmtId="0" fontId="16" fillId="30" borderId="11" xfId="0" applyFont="1" applyFill="1" applyBorder="1" applyAlignment="1">
      <alignment horizontal="center"/>
    </xf>
    <xf numFmtId="0" fontId="16" fillId="30" borderId="42" xfId="0" applyFont="1" applyFill="1" applyBorder="1" applyAlignment="1">
      <alignment horizontal="center"/>
    </xf>
    <xf numFmtId="0" fontId="56" fillId="28" borderId="2" xfId="0" applyFont="1" applyFill="1" applyBorder="1" applyAlignment="1">
      <alignment horizontal="center" vertical="center" wrapText="1"/>
    </xf>
    <xf numFmtId="0" fontId="56" fillId="28" borderId="11" xfId="0" applyFont="1" applyFill="1" applyBorder="1" applyAlignment="1">
      <alignment horizontal="center" vertical="center" wrapText="1"/>
    </xf>
    <xf numFmtId="0" fontId="55" fillId="28" borderId="2" xfId="0" applyFont="1" applyFill="1" applyBorder="1" applyAlignment="1">
      <alignment horizontal="center" vertical="center"/>
    </xf>
    <xf numFmtId="0" fontId="55" fillId="28" borderId="11" xfId="0" applyFont="1" applyFill="1" applyBorder="1" applyAlignment="1">
      <alignment horizontal="center" vertical="center"/>
    </xf>
    <xf numFmtId="0" fontId="55" fillId="28" borderId="4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62" fillId="30" borderId="2" xfId="0" applyFont="1" applyFill="1" applyBorder="1" applyAlignment="1">
      <alignment horizontal="center" vertical="center" wrapText="1"/>
    </xf>
    <xf numFmtId="0" fontId="62" fillId="30" borderId="11" xfId="0" applyFont="1" applyFill="1" applyBorder="1" applyAlignment="1">
      <alignment horizontal="center" vertical="center" wrapText="1"/>
    </xf>
    <xf numFmtId="0" fontId="62" fillId="30" borderId="42" xfId="0" applyFont="1" applyFill="1" applyBorder="1" applyAlignment="1">
      <alignment horizontal="center" vertical="center" wrapText="1"/>
    </xf>
    <xf numFmtId="0" fontId="56" fillId="23" borderId="65" xfId="0" applyFont="1" applyFill="1" applyBorder="1" applyAlignment="1">
      <alignment horizontal="center" vertical="center"/>
    </xf>
    <xf numFmtId="0" fontId="56" fillId="23" borderId="29" xfId="0" applyFont="1" applyFill="1" applyBorder="1" applyAlignment="1">
      <alignment horizontal="center" vertical="center"/>
    </xf>
    <xf numFmtId="0" fontId="56" fillId="23" borderId="17" xfId="0" applyFont="1" applyFill="1" applyBorder="1" applyAlignment="1">
      <alignment horizontal="center" vertical="center"/>
    </xf>
    <xf numFmtId="174" fontId="60" fillId="25" borderId="33" xfId="3" applyNumberFormat="1" applyFont="1" applyFill="1" applyBorder="1" applyAlignment="1">
      <alignment horizontal="center" vertical="center" wrapText="1"/>
    </xf>
    <xf numFmtId="174" fontId="60" fillId="25" borderId="34" xfId="3" applyNumberFormat="1" applyFont="1" applyFill="1" applyBorder="1" applyAlignment="1">
      <alignment horizontal="center" vertical="center" wrapText="1"/>
    </xf>
    <xf numFmtId="174" fontId="60" fillId="25" borderId="35" xfId="3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wrapText="1"/>
    </xf>
    <xf numFmtId="0" fontId="5" fillId="10" borderId="18" xfId="0" applyFont="1" applyFill="1" applyBorder="1" applyAlignment="1">
      <alignment horizontal="center" wrapText="1"/>
    </xf>
    <xf numFmtId="0" fontId="5" fillId="10" borderId="10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43" fontId="61" fillId="38" borderId="52" xfId="0" applyNumberFormat="1" applyFont="1" applyFill="1" applyBorder="1" applyAlignment="1">
      <alignment horizontal="center" vertical="center"/>
    </xf>
    <xf numFmtId="43" fontId="61" fillId="38" borderId="50" xfId="0" applyNumberFormat="1" applyFont="1" applyFill="1" applyBorder="1" applyAlignment="1">
      <alignment horizontal="center" vertical="center"/>
    </xf>
    <xf numFmtId="43" fontId="61" fillId="38" borderId="51" xfId="0" applyNumberFormat="1" applyFont="1" applyFill="1" applyBorder="1" applyAlignment="1">
      <alignment horizontal="center" vertical="center"/>
    </xf>
    <xf numFmtId="0" fontId="75" fillId="2" borderId="0" xfId="0" applyFont="1" applyFill="1" applyAlignment="1">
      <alignment horizontal="center" vertical="center" wrapText="1"/>
    </xf>
    <xf numFmtId="0" fontId="75" fillId="2" borderId="26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0" fontId="73" fillId="0" borderId="8" xfId="0" applyFont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6" fillId="8" borderId="57" xfId="0" applyFont="1" applyFill="1" applyBorder="1" applyAlignment="1">
      <alignment horizontal="center"/>
    </xf>
    <xf numFmtId="0" fontId="56" fillId="23" borderId="2" xfId="0" applyFont="1" applyFill="1" applyBorder="1" applyAlignment="1">
      <alignment horizontal="center" vertical="center"/>
    </xf>
    <xf numFmtId="0" fontId="56" fillId="23" borderId="57" xfId="0" applyFont="1" applyFill="1" applyBorder="1" applyAlignment="1">
      <alignment horizontal="center" vertical="center"/>
    </xf>
    <xf numFmtId="0" fontId="56" fillId="23" borderId="54" xfId="0" applyFont="1" applyFill="1" applyBorder="1" applyAlignment="1">
      <alignment horizontal="center" vertical="center"/>
    </xf>
    <xf numFmtId="172" fontId="55" fillId="23" borderId="54" xfId="1" applyNumberFormat="1" applyFont="1" applyFill="1" applyBorder="1" applyAlignment="1">
      <alignment horizontal="center" vertical="center" wrapText="1"/>
    </xf>
    <xf numFmtId="0" fontId="66" fillId="32" borderId="55" xfId="0" applyFont="1" applyFill="1" applyBorder="1" applyAlignment="1">
      <alignment horizontal="center" vertical="center" wrapText="1"/>
    </xf>
    <xf numFmtId="0" fontId="66" fillId="32" borderId="0" xfId="0" applyFont="1" applyFill="1" applyBorder="1" applyAlignment="1">
      <alignment horizontal="center" vertical="center" wrapText="1"/>
    </xf>
    <xf numFmtId="0" fontId="66" fillId="32" borderId="0" xfId="0" applyFont="1" applyFill="1" applyAlignment="1">
      <alignment horizontal="center" vertical="center" wrapText="1"/>
    </xf>
    <xf numFmtId="0" fontId="65" fillId="34" borderId="0" xfId="0" applyFont="1" applyFill="1" applyAlignment="1">
      <alignment wrapText="1"/>
    </xf>
    <xf numFmtId="0" fontId="65" fillId="0" borderId="0" xfId="0" applyFont="1" applyAlignment="1">
      <alignment wrapText="1"/>
    </xf>
    <xf numFmtId="0" fontId="66" fillId="2" borderId="55" xfId="0" applyFont="1" applyFill="1" applyBorder="1" applyAlignment="1">
      <alignment horizontal="center" vertical="center" wrapText="1"/>
    </xf>
    <xf numFmtId="0" fontId="66" fillId="2" borderId="0" xfId="0" applyFont="1" applyFill="1" applyBorder="1" applyAlignment="1">
      <alignment horizontal="center" vertical="center" wrapText="1"/>
    </xf>
    <xf numFmtId="0" fontId="6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26" xfId="0" applyFont="1" applyBorder="1" applyAlignment="1">
      <alignment horizontal="center"/>
    </xf>
    <xf numFmtId="1" fontId="6" fillId="2" borderId="4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/>
    </xf>
    <xf numFmtId="0" fontId="19" fillId="9" borderId="11" xfId="0" applyFont="1" applyFill="1" applyBorder="1" applyAlignment="1">
      <alignment horizontal="center"/>
    </xf>
    <xf numFmtId="0" fontId="19" fillId="9" borderId="3" xfId="0" applyFont="1" applyFill="1" applyBorder="1" applyAlignment="1">
      <alignment horizontal="center"/>
    </xf>
    <xf numFmtId="0" fontId="39" fillId="10" borderId="1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7" fillId="15" borderId="38" xfId="6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177" fontId="36" fillId="15" borderId="44" xfId="6" applyNumberFormat="1" applyFont="1" applyBorder="1" applyAlignment="1">
      <alignment horizontal="center" vertical="center"/>
    </xf>
    <xf numFmtId="177" fontId="36" fillId="15" borderId="45" xfId="6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1" fontId="25" fillId="3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3" fontId="29" fillId="0" borderId="18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/>
    </xf>
    <xf numFmtId="3" fontId="29" fillId="0" borderId="1" xfId="0" applyNumberFormat="1" applyFont="1" applyBorder="1" applyAlignment="1">
      <alignment horizontal="right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/>
    </xf>
    <xf numFmtId="0" fontId="16" fillId="16" borderId="40" xfId="0" applyFont="1" applyFill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47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51" fillId="0" borderId="46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1" fillId="0" borderId="48" xfId="0" applyFont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174" fontId="12" fillId="4" borderId="4" xfId="3" applyNumberFormat="1" applyFont="1" applyFill="1" applyBorder="1" applyAlignment="1">
      <alignment horizontal="center" vertical="center" wrapText="1"/>
    </xf>
    <xf numFmtId="174" fontId="12" fillId="4" borderId="5" xfId="3" applyNumberFormat="1" applyFont="1" applyFill="1" applyBorder="1" applyAlignment="1">
      <alignment horizontal="center" vertical="center" wrapText="1"/>
    </xf>
    <xf numFmtId="174" fontId="12" fillId="4" borderId="6" xfId="3" applyNumberFormat="1" applyFont="1" applyFill="1" applyBorder="1" applyAlignment="1">
      <alignment horizontal="center" vertical="center" wrapText="1"/>
    </xf>
    <xf numFmtId="174" fontId="12" fillId="4" borderId="7" xfId="3" applyNumberFormat="1" applyFont="1" applyFill="1" applyBorder="1" applyAlignment="1">
      <alignment horizontal="center" vertical="center" wrapText="1"/>
    </xf>
    <xf numFmtId="174" fontId="12" fillId="4" borderId="8" xfId="3" applyNumberFormat="1" applyFont="1" applyFill="1" applyBorder="1" applyAlignment="1">
      <alignment horizontal="center" vertical="center" wrapText="1"/>
    </xf>
    <xf numFmtId="174" fontId="12" fillId="4" borderId="9" xfId="3" applyNumberFormat="1" applyFont="1" applyFill="1" applyBorder="1" applyAlignment="1">
      <alignment horizontal="center" vertical="center" wrapText="1"/>
    </xf>
    <xf numFmtId="167" fontId="8" fillId="0" borderId="4" xfId="0" applyNumberFormat="1" applyFont="1" applyBorder="1" applyAlignment="1">
      <alignment horizontal="left" vertical="center" wrapText="1"/>
    </xf>
    <xf numFmtId="167" fontId="8" fillId="0" borderId="5" xfId="0" applyNumberFormat="1" applyFont="1" applyBorder="1" applyAlignment="1">
      <alignment horizontal="left" vertical="center" wrapText="1"/>
    </xf>
    <xf numFmtId="167" fontId="8" fillId="0" borderId="6" xfId="0" applyNumberFormat="1" applyFont="1" applyBorder="1" applyAlignment="1">
      <alignment horizontal="left" vertical="center" wrapText="1"/>
    </xf>
    <xf numFmtId="167" fontId="8" fillId="0" borderId="7" xfId="0" applyNumberFormat="1" applyFont="1" applyBorder="1" applyAlignment="1">
      <alignment horizontal="left" vertical="center" wrapText="1"/>
    </xf>
    <xf numFmtId="167" fontId="8" fillId="0" borderId="8" xfId="0" applyNumberFormat="1" applyFont="1" applyBorder="1" applyAlignment="1">
      <alignment horizontal="left" vertical="center" wrapText="1"/>
    </xf>
    <xf numFmtId="167" fontId="8" fillId="0" borderId="9" xfId="0" applyNumberFormat="1" applyFont="1" applyBorder="1" applyAlignment="1">
      <alignment horizontal="left" vertical="center" wrapText="1"/>
    </xf>
  </cellXfs>
  <cellStyles count="12">
    <cellStyle name="Cálculo" xfId="6" builtinId="22"/>
    <cellStyle name="Millares" xfId="2" builtinId="3"/>
    <cellStyle name="Millares [0]" xfId="7" builtinId="6"/>
    <cellStyle name="Millares 3" xfId="3" xr:uid="{00000000-0005-0000-0000-000003000000}"/>
    <cellStyle name="Moneda" xfId="1" builtinId="4"/>
    <cellStyle name="Moneda [0]" xfId="10" builtinId="7"/>
    <cellStyle name="Moneda [0] 2" xfId="9" xr:uid="{00000000-0005-0000-0000-000006000000}"/>
    <cellStyle name="Moneda 2" xfId="11" xr:uid="{00000000-0005-0000-0000-000007000000}"/>
    <cellStyle name="Normal" xfId="0" builtinId="0"/>
    <cellStyle name="Normal 2" xfId="4" xr:uid="{00000000-0005-0000-0000-000009000000}"/>
    <cellStyle name="Normal 3" xfId="5" xr:uid="{00000000-0005-0000-0000-00000A000000}"/>
    <cellStyle name="Porcentaje" xfId="8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113061</xdr:colOff>
      <xdr:row>0</xdr:row>
      <xdr:rowOff>0</xdr:rowOff>
    </xdr:from>
    <xdr:to>
      <xdr:col>2</xdr:col>
      <xdr:colOff>557561</xdr:colOff>
      <xdr:row>5</xdr:row>
      <xdr:rowOff>162622</xdr:rowOff>
    </xdr:to>
    <xdr:pic>
      <xdr:nvPicPr>
        <xdr:cNvPr id="2" name="Imagen 1" descr="Regalias_gov on Twitter: &amp;quot;#Atención Con ocasión de la implementación de la  Ley 2056 de 2020, el #DNP amplió hasta el próximo 15 de abril el plazo para  que las entidades ejecutoras de">
          <a:extLst>
            <a:ext uri="{FF2B5EF4-FFF2-40B4-BE49-F238E27FC236}">
              <a16:creationId xmlns:a16="http://schemas.microsoft.com/office/drawing/2014/main" id="{6CF66C71-CF93-4935-A83C-9B2B88D95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1" y="0"/>
          <a:ext cx="2279805" cy="1091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815378</xdr:colOff>
      <xdr:row>0</xdr:row>
      <xdr:rowOff>48043</xdr:rowOff>
    </xdr:from>
    <xdr:to>
      <xdr:col>5</xdr:col>
      <xdr:colOff>348476</xdr:colOff>
      <xdr:row>5</xdr:row>
      <xdr:rowOff>185854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76BD54-AA5E-4094-8818-D7227207B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0683" y="48043"/>
          <a:ext cx="4249134" cy="1067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8"/>
  <sheetViews>
    <sheetView zoomScale="60" zoomScaleNormal="60" workbookViewId="0">
      <pane xSplit="1" ySplit="1" topLeftCell="C61" activePane="bottomRight" state="frozen"/>
      <selection activeCell="A21" sqref="A21"/>
      <selection pane="topRight" activeCell="A21" sqref="A21"/>
      <selection pane="bottomLeft" activeCell="A21" sqref="A21"/>
      <selection pane="bottomRight" activeCell="N68" sqref="N68"/>
    </sheetView>
  </sheetViews>
  <sheetFormatPr baseColWidth="10" defaultColWidth="11.42578125" defaultRowHeight="15"/>
  <cols>
    <col min="1" max="1" width="4.42578125" style="8" bestFit="1" customWidth="1"/>
    <col min="2" max="2" width="18.5703125" style="8" customWidth="1"/>
    <col min="3" max="3" width="27.28515625" style="8" bestFit="1" customWidth="1"/>
    <col min="4" max="4" width="21.7109375" style="8" customWidth="1"/>
    <col min="5" max="5" width="50.140625" style="12" customWidth="1"/>
    <col min="6" max="6" width="26.140625" style="8" bestFit="1" customWidth="1"/>
    <col min="7" max="7" width="20.42578125" style="8" customWidth="1"/>
    <col min="8" max="8" width="44.28515625" style="8" customWidth="1"/>
    <col min="9" max="9" width="26.28515625" style="13" bestFit="1" customWidth="1"/>
    <col min="10" max="12" width="24.5703125" style="13" customWidth="1"/>
    <col min="13" max="13" width="24.7109375" style="13" bestFit="1" customWidth="1"/>
    <col min="14" max="14" width="24.5703125" style="13" customWidth="1"/>
    <col min="15" max="15" width="23.42578125" style="13" customWidth="1"/>
    <col min="16" max="17" width="32.28515625" style="13" bestFit="1" customWidth="1"/>
    <col min="18" max="18" width="19.28515625" style="8" hidden="1" customWidth="1"/>
    <col min="19" max="16384" width="11.42578125" style="8"/>
  </cols>
  <sheetData>
    <row r="1" spans="1:18" s="2" customFormat="1" ht="72">
      <c r="A1" s="17" t="s">
        <v>159</v>
      </c>
      <c r="B1" s="17" t="s">
        <v>158</v>
      </c>
      <c r="C1" s="17" t="s">
        <v>157</v>
      </c>
      <c r="D1" s="18" t="s">
        <v>156</v>
      </c>
      <c r="E1" s="18" t="s">
        <v>155</v>
      </c>
      <c r="F1" s="18" t="s">
        <v>154</v>
      </c>
      <c r="G1" s="18" t="s">
        <v>153</v>
      </c>
      <c r="H1" s="18" t="s">
        <v>152</v>
      </c>
      <c r="I1" s="19" t="s">
        <v>151</v>
      </c>
      <c r="J1" s="19" t="s">
        <v>174</v>
      </c>
      <c r="K1" s="19" t="s">
        <v>175</v>
      </c>
      <c r="L1" s="19" t="s">
        <v>176</v>
      </c>
      <c r="M1" s="19" t="s">
        <v>148</v>
      </c>
      <c r="N1" s="19" t="s">
        <v>177</v>
      </c>
      <c r="O1" s="19" t="s">
        <v>149</v>
      </c>
      <c r="P1" s="19" t="s">
        <v>147</v>
      </c>
      <c r="Q1" s="19" t="s">
        <v>146</v>
      </c>
      <c r="R1" s="18" t="s">
        <v>167</v>
      </c>
    </row>
    <row r="2" spans="1:18" ht="60">
      <c r="A2" s="3">
        <v>1</v>
      </c>
      <c r="B2" s="3">
        <v>2016</v>
      </c>
      <c r="C2" s="4" t="s">
        <v>92</v>
      </c>
      <c r="D2" s="5" t="s">
        <v>91</v>
      </c>
      <c r="E2" s="6" t="s">
        <v>90</v>
      </c>
      <c r="F2" s="3" t="s">
        <v>73</v>
      </c>
      <c r="G2" s="24" t="s">
        <v>79</v>
      </c>
      <c r="H2" s="24" t="s">
        <v>86</v>
      </c>
      <c r="I2" s="1">
        <v>14963757156</v>
      </c>
      <c r="J2" s="1"/>
      <c r="K2" s="1"/>
      <c r="L2" s="1"/>
      <c r="M2" s="1"/>
      <c r="N2" s="1"/>
      <c r="O2" s="1"/>
      <c r="P2" s="1"/>
      <c r="Q2" s="1">
        <f>+SUM(I2:P2)</f>
        <v>14963757156</v>
      </c>
      <c r="R2" s="3" t="s">
        <v>160</v>
      </c>
    </row>
    <row r="3" spans="1:18" ht="75">
      <c r="A3" s="3">
        <v>2</v>
      </c>
      <c r="B3" s="3">
        <v>2016</v>
      </c>
      <c r="C3" s="4" t="s">
        <v>89</v>
      </c>
      <c r="D3" s="5" t="s">
        <v>88</v>
      </c>
      <c r="E3" s="6" t="s">
        <v>87</v>
      </c>
      <c r="F3" s="3" t="s">
        <v>73</v>
      </c>
      <c r="G3" s="24" t="s">
        <v>79</v>
      </c>
      <c r="H3" s="3" t="s">
        <v>86</v>
      </c>
      <c r="I3" s="1">
        <v>12339894658</v>
      </c>
      <c r="J3" s="1"/>
      <c r="K3" s="1"/>
      <c r="L3" s="1"/>
      <c r="M3" s="1"/>
      <c r="N3" s="1"/>
      <c r="O3" s="1"/>
      <c r="P3" s="1"/>
      <c r="Q3" s="1">
        <f>+SUM(I3:P3)</f>
        <v>12339894658</v>
      </c>
      <c r="R3" s="3" t="s">
        <v>161</v>
      </c>
    </row>
    <row r="4" spans="1:18" ht="75">
      <c r="A4" s="29">
        <v>3</v>
      </c>
      <c r="B4" s="29">
        <v>2016</v>
      </c>
      <c r="C4" s="30" t="s">
        <v>97</v>
      </c>
      <c r="D4" s="31" t="s">
        <v>96</v>
      </c>
      <c r="E4" s="32" t="s">
        <v>95</v>
      </c>
      <c r="F4" s="33" t="s">
        <v>94</v>
      </c>
      <c r="G4" s="33" t="s">
        <v>6</v>
      </c>
      <c r="H4" s="33" t="s">
        <v>93</v>
      </c>
      <c r="I4" s="34">
        <f>5382561.25+445540276.25</f>
        <v>450922837.5</v>
      </c>
      <c r="J4" s="34"/>
      <c r="K4" s="34"/>
      <c r="L4" s="34"/>
      <c r="M4" s="34"/>
      <c r="N4" s="34"/>
      <c r="O4" s="34"/>
      <c r="P4" s="34">
        <v>450922837.5</v>
      </c>
      <c r="Q4" s="34">
        <f>+SUM(I4:P4)</f>
        <v>901845675</v>
      </c>
      <c r="R4" s="29" t="s">
        <v>162</v>
      </c>
    </row>
    <row r="5" spans="1:18" ht="75">
      <c r="A5" s="3">
        <v>4</v>
      </c>
      <c r="B5" s="3">
        <v>2016</v>
      </c>
      <c r="C5" s="4" t="s">
        <v>132</v>
      </c>
      <c r="D5" s="5" t="s">
        <v>131</v>
      </c>
      <c r="E5" s="6" t="s">
        <v>130</v>
      </c>
      <c r="F5" s="24" t="s">
        <v>119</v>
      </c>
      <c r="G5" s="3" t="s">
        <v>129</v>
      </c>
      <c r="H5" s="3" t="s">
        <v>40</v>
      </c>
      <c r="I5" s="1">
        <v>2500000000</v>
      </c>
      <c r="J5" s="1"/>
      <c r="K5" s="1"/>
      <c r="L5" s="1"/>
      <c r="M5" s="1"/>
      <c r="N5" s="1"/>
      <c r="O5" s="1"/>
      <c r="P5" s="1">
        <v>29999987282</v>
      </c>
      <c r="Q5" s="1">
        <f>+SUM(I5:P5)</f>
        <v>32499987282</v>
      </c>
      <c r="R5" s="3"/>
    </row>
    <row r="6" spans="1:18" ht="18">
      <c r="A6" s="759" t="s">
        <v>166</v>
      </c>
      <c r="B6" s="759"/>
      <c r="C6" s="759"/>
      <c r="D6" s="759"/>
      <c r="E6" s="759"/>
      <c r="F6" s="759"/>
      <c r="G6" s="759"/>
      <c r="H6" s="20"/>
      <c r="I6" s="21">
        <f>+I2+I3+I5</f>
        <v>29803651814</v>
      </c>
      <c r="J6" s="21">
        <f t="shared" ref="J6:Q6" si="0">+J2+J3+J5</f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29999987282</v>
      </c>
      <c r="Q6" s="21">
        <f t="shared" si="0"/>
        <v>59803639096</v>
      </c>
      <c r="R6" s="20"/>
    </row>
    <row r="7" spans="1:18" ht="75">
      <c r="A7" s="3">
        <v>1</v>
      </c>
      <c r="B7" s="3">
        <v>2017</v>
      </c>
      <c r="C7" s="3" t="s">
        <v>230</v>
      </c>
      <c r="D7" s="5" t="s">
        <v>41</v>
      </c>
      <c r="E7" s="93" t="s">
        <v>228</v>
      </c>
      <c r="F7" s="3" t="s">
        <v>12</v>
      </c>
      <c r="G7" s="3" t="s">
        <v>11</v>
      </c>
      <c r="H7" s="3" t="s">
        <v>40</v>
      </c>
      <c r="I7" s="1">
        <v>24179817530</v>
      </c>
      <c r="J7" s="1"/>
      <c r="K7" s="1"/>
      <c r="L7" s="1"/>
      <c r="M7" s="1"/>
      <c r="N7" s="1"/>
      <c r="O7" s="1"/>
      <c r="P7" s="1"/>
      <c r="Q7" s="1">
        <f>+SUM(I7:P7)</f>
        <v>24179817530</v>
      </c>
      <c r="R7" s="3"/>
    </row>
    <row r="8" spans="1:18" ht="45">
      <c r="A8" s="3">
        <v>2</v>
      </c>
      <c r="B8" s="3">
        <v>2017</v>
      </c>
      <c r="C8" s="3" t="s">
        <v>9</v>
      </c>
      <c r="D8" s="5" t="s">
        <v>50</v>
      </c>
      <c r="E8" s="24" t="s">
        <v>49</v>
      </c>
      <c r="F8" s="3" t="s">
        <v>12</v>
      </c>
      <c r="G8" s="3" t="s">
        <v>11</v>
      </c>
      <c r="H8" s="3" t="s">
        <v>40</v>
      </c>
      <c r="I8" s="1">
        <v>4991550669</v>
      </c>
      <c r="J8" s="1"/>
      <c r="K8" s="1"/>
      <c r="L8" s="1"/>
      <c r="M8" s="1"/>
      <c r="N8" s="1"/>
      <c r="O8" s="1"/>
      <c r="P8" s="1"/>
      <c r="Q8" s="1">
        <f>+SUM(I8:P8)</f>
        <v>4991550669</v>
      </c>
      <c r="R8" s="3"/>
    </row>
    <row r="9" spans="1:18" ht="60">
      <c r="A9" s="3">
        <v>3</v>
      </c>
      <c r="B9" s="3">
        <v>2017</v>
      </c>
      <c r="C9" s="3" t="s">
        <v>9</v>
      </c>
      <c r="D9" s="5" t="s">
        <v>48</v>
      </c>
      <c r="E9" s="24" t="s">
        <v>47</v>
      </c>
      <c r="F9" s="3" t="s">
        <v>12</v>
      </c>
      <c r="G9" s="3" t="s">
        <v>11</v>
      </c>
      <c r="H9" s="3" t="s">
        <v>40</v>
      </c>
      <c r="I9" s="1">
        <v>5018180598</v>
      </c>
      <c r="J9" s="1"/>
      <c r="K9" s="1"/>
      <c r="L9" s="1"/>
      <c r="M9" s="1"/>
      <c r="N9" s="1"/>
      <c r="O9" s="1"/>
      <c r="P9" s="1">
        <v>1000000000</v>
      </c>
      <c r="Q9" s="1">
        <f t="shared" ref="Q9:Q24" si="1">+SUM(I9:P9)</f>
        <v>6018180598</v>
      </c>
      <c r="R9" s="3"/>
    </row>
    <row r="10" spans="1:18" ht="45">
      <c r="A10" s="3">
        <v>4</v>
      </c>
      <c r="B10" s="3">
        <v>2017</v>
      </c>
      <c r="C10" s="3" t="s">
        <v>9</v>
      </c>
      <c r="D10" s="5" t="s">
        <v>46</v>
      </c>
      <c r="E10" s="24" t="s">
        <v>45</v>
      </c>
      <c r="F10" s="3" t="s">
        <v>12</v>
      </c>
      <c r="G10" s="3" t="s">
        <v>11</v>
      </c>
      <c r="H10" s="3" t="s">
        <v>40</v>
      </c>
      <c r="I10" s="1">
        <v>3022150134</v>
      </c>
      <c r="J10" s="1"/>
      <c r="K10" s="1"/>
      <c r="L10" s="1"/>
      <c r="M10" s="1"/>
      <c r="N10" s="1"/>
      <c r="O10" s="1"/>
      <c r="P10" s="1"/>
      <c r="Q10" s="1">
        <f t="shared" si="1"/>
        <v>3022150134</v>
      </c>
      <c r="R10" s="3"/>
    </row>
    <row r="11" spans="1:18" ht="105">
      <c r="A11" s="3">
        <v>5</v>
      </c>
      <c r="B11" s="3">
        <v>2017</v>
      </c>
      <c r="C11" s="3" t="s">
        <v>68</v>
      </c>
      <c r="D11" s="5" t="s">
        <v>67</v>
      </c>
      <c r="E11" s="24" t="s">
        <v>66</v>
      </c>
      <c r="F11" s="24" t="s">
        <v>65</v>
      </c>
      <c r="G11" s="24" t="s">
        <v>64</v>
      </c>
      <c r="H11" s="3" t="s">
        <v>40</v>
      </c>
      <c r="I11" s="1">
        <v>8119993544</v>
      </c>
      <c r="J11" s="1"/>
      <c r="K11" s="1"/>
      <c r="L11" s="1"/>
      <c r="M11" s="1"/>
      <c r="N11" s="1"/>
      <c r="O11" s="1"/>
      <c r="P11" s="1"/>
      <c r="Q11" s="1">
        <f t="shared" si="1"/>
        <v>8119993544</v>
      </c>
      <c r="R11" s="3" t="s">
        <v>161</v>
      </c>
    </row>
    <row r="12" spans="1:18" ht="60">
      <c r="A12" s="3">
        <v>6</v>
      </c>
      <c r="B12" s="3">
        <v>2017</v>
      </c>
      <c r="C12" s="3" t="s">
        <v>85</v>
      </c>
      <c r="D12" s="5" t="s">
        <v>84</v>
      </c>
      <c r="E12" s="24" t="s">
        <v>83</v>
      </c>
      <c r="F12" s="3" t="s">
        <v>73</v>
      </c>
      <c r="G12" s="24" t="s">
        <v>79</v>
      </c>
      <c r="H12" s="3" t="s">
        <v>40</v>
      </c>
      <c r="I12" s="1">
        <v>14995289800</v>
      </c>
      <c r="J12" s="1"/>
      <c r="K12" s="1"/>
      <c r="L12" s="1"/>
      <c r="M12" s="1"/>
      <c r="N12" s="1"/>
      <c r="O12" s="1"/>
      <c r="P12" s="1"/>
      <c r="Q12" s="1">
        <f t="shared" si="1"/>
        <v>14995289800</v>
      </c>
      <c r="R12" s="3" t="s">
        <v>160</v>
      </c>
    </row>
    <row r="13" spans="1:18" ht="60">
      <c r="A13" s="3">
        <v>7</v>
      </c>
      <c r="B13" s="3">
        <v>2017</v>
      </c>
      <c r="C13" s="3" t="s">
        <v>82</v>
      </c>
      <c r="D13" s="5" t="s">
        <v>81</v>
      </c>
      <c r="E13" s="24" t="s">
        <v>80</v>
      </c>
      <c r="F13" s="3" t="s">
        <v>73</v>
      </c>
      <c r="G13" s="24" t="s">
        <v>79</v>
      </c>
      <c r="H13" s="3" t="s">
        <v>40</v>
      </c>
      <c r="I13" s="1">
        <v>14000000000</v>
      </c>
      <c r="J13" s="1"/>
      <c r="K13" s="1"/>
      <c r="L13" s="1"/>
      <c r="M13" s="1"/>
      <c r="N13" s="1"/>
      <c r="O13" s="1"/>
      <c r="P13" s="1"/>
      <c r="Q13" s="1">
        <f t="shared" si="1"/>
        <v>14000000000</v>
      </c>
      <c r="R13" s="7" t="s">
        <v>163</v>
      </c>
    </row>
    <row r="14" spans="1:18" ht="90">
      <c r="A14" s="3">
        <v>8</v>
      </c>
      <c r="B14" s="3">
        <v>2017</v>
      </c>
      <c r="C14" s="3" t="s">
        <v>44</v>
      </c>
      <c r="D14" s="5" t="s">
        <v>43</v>
      </c>
      <c r="E14" s="24" t="s">
        <v>42</v>
      </c>
      <c r="F14" s="3" t="s">
        <v>12</v>
      </c>
      <c r="G14" s="3" t="s">
        <v>11</v>
      </c>
      <c r="H14" s="3" t="s">
        <v>40</v>
      </c>
      <c r="I14" s="1">
        <v>2737728761</v>
      </c>
      <c r="J14" s="1"/>
      <c r="K14" s="1"/>
      <c r="L14" s="1"/>
      <c r="M14" s="1"/>
      <c r="N14" s="1"/>
      <c r="O14" s="1"/>
      <c r="P14" s="1">
        <v>4113016361</v>
      </c>
      <c r="Q14" s="1">
        <f t="shared" si="1"/>
        <v>6850745122</v>
      </c>
      <c r="R14" s="7" t="s">
        <v>163</v>
      </c>
    </row>
    <row r="15" spans="1:18" ht="45">
      <c r="A15" s="3">
        <v>9</v>
      </c>
      <c r="B15" s="3">
        <v>2017</v>
      </c>
      <c r="C15" s="3" t="s">
        <v>57</v>
      </c>
      <c r="D15" s="5" t="s">
        <v>145</v>
      </c>
      <c r="E15" s="24" t="s">
        <v>144</v>
      </c>
      <c r="F15" s="24" t="s">
        <v>133</v>
      </c>
      <c r="G15" s="24" t="s">
        <v>135</v>
      </c>
      <c r="H15" s="3" t="s">
        <v>40</v>
      </c>
      <c r="I15" s="1">
        <v>3185731638</v>
      </c>
      <c r="J15" s="1"/>
      <c r="K15" s="1"/>
      <c r="L15" s="1"/>
      <c r="M15" s="1"/>
      <c r="N15" s="1"/>
      <c r="O15" s="1"/>
      <c r="P15" s="1">
        <v>2798047387.27</v>
      </c>
      <c r="Q15" s="1">
        <f t="shared" si="1"/>
        <v>5983779025.2700005</v>
      </c>
      <c r="R15" s="3"/>
    </row>
    <row r="16" spans="1:18" ht="45">
      <c r="A16" s="3">
        <v>10</v>
      </c>
      <c r="B16" s="3">
        <v>2017</v>
      </c>
      <c r="C16" s="3" t="s">
        <v>57</v>
      </c>
      <c r="D16" s="5" t="s">
        <v>143</v>
      </c>
      <c r="E16" s="24" t="s">
        <v>142</v>
      </c>
      <c r="F16" s="24" t="s">
        <v>133</v>
      </c>
      <c r="G16" s="24" t="s">
        <v>135</v>
      </c>
      <c r="H16" s="3" t="s">
        <v>40</v>
      </c>
      <c r="I16" s="1">
        <v>1083646491</v>
      </c>
      <c r="J16" s="1"/>
      <c r="K16" s="1"/>
      <c r="L16" s="1"/>
      <c r="M16" s="1"/>
      <c r="N16" s="1"/>
      <c r="O16" s="1"/>
      <c r="P16" s="1">
        <v>1270671634</v>
      </c>
      <c r="Q16" s="1">
        <f t="shared" si="1"/>
        <v>2354318125</v>
      </c>
      <c r="R16" s="3"/>
    </row>
    <row r="17" spans="1:18" ht="45">
      <c r="A17" s="3">
        <v>11</v>
      </c>
      <c r="B17" s="3">
        <v>2017</v>
      </c>
      <c r="C17" s="3" t="s">
        <v>57</v>
      </c>
      <c r="D17" s="5" t="s">
        <v>141</v>
      </c>
      <c r="E17" s="24" t="s">
        <v>140</v>
      </c>
      <c r="F17" s="24" t="s">
        <v>133</v>
      </c>
      <c r="G17" s="24" t="s">
        <v>137</v>
      </c>
      <c r="H17" s="3" t="s">
        <v>40</v>
      </c>
      <c r="I17" s="1">
        <f>1384295244+1115704756</f>
        <v>2500000000</v>
      </c>
      <c r="J17" s="1"/>
      <c r="K17" s="1"/>
      <c r="L17" s="1"/>
      <c r="M17" s="1"/>
      <c r="N17" s="1"/>
      <c r="O17" s="1"/>
      <c r="P17" s="1">
        <v>4023880054</v>
      </c>
      <c r="Q17" s="1">
        <f t="shared" si="1"/>
        <v>6523880054</v>
      </c>
      <c r="R17" s="3"/>
    </row>
    <row r="18" spans="1:18" ht="105">
      <c r="A18" s="3">
        <v>12</v>
      </c>
      <c r="B18" s="3">
        <v>2017</v>
      </c>
      <c r="C18" s="3" t="s">
        <v>57</v>
      </c>
      <c r="D18" s="5" t="s">
        <v>56</v>
      </c>
      <c r="E18" s="24" t="s">
        <v>55</v>
      </c>
      <c r="F18" s="24" t="s">
        <v>52</v>
      </c>
      <c r="G18" s="24" t="s">
        <v>51</v>
      </c>
      <c r="H18" s="3" t="s">
        <v>40</v>
      </c>
      <c r="I18" s="1">
        <v>2000553024</v>
      </c>
      <c r="J18" s="1"/>
      <c r="K18" s="1"/>
      <c r="L18" s="1"/>
      <c r="M18" s="3"/>
      <c r="N18" s="3"/>
      <c r="O18" s="1">
        <v>44901675</v>
      </c>
      <c r="P18" s="1">
        <v>1719212000</v>
      </c>
      <c r="Q18" s="1">
        <f t="shared" si="1"/>
        <v>3764666699</v>
      </c>
      <c r="R18" s="3"/>
    </row>
    <row r="19" spans="1:18" ht="75">
      <c r="A19" s="3">
        <v>13</v>
      </c>
      <c r="B19" s="3">
        <v>2017</v>
      </c>
      <c r="C19" s="24" t="s">
        <v>115</v>
      </c>
      <c r="D19" s="9">
        <v>2017000100016</v>
      </c>
      <c r="E19" s="24" t="s">
        <v>117</v>
      </c>
      <c r="F19" s="24" t="s">
        <v>104</v>
      </c>
      <c r="G19" s="24" t="s">
        <v>103</v>
      </c>
      <c r="H19" s="24" t="s">
        <v>5</v>
      </c>
      <c r="I19" s="1"/>
      <c r="J19" s="1"/>
      <c r="K19" s="1"/>
      <c r="L19" s="1"/>
      <c r="M19" s="1">
        <v>4343608212.0100002</v>
      </c>
      <c r="N19" s="1"/>
      <c r="O19" s="3"/>
      <c r="P19" s="1">
        <v>128663422.15000001</v>
      </c>
      <c r="Q19" s="1">
        <f t="shared" si="1"/>
        <v>4472271634.1599998</v>
      </c>
      <c r="R19" s="3"/>
    </row>
    <row r="20" spans="1:18" ht="60">
      <c r="A20" s="3">
        <v>14</v>
      </c>
      <c r="B20" s="3">
        <v>2017</v>
      </c>
      <c r="C20" s="24" t="s">
        <v>115</v>
      </c>
      <c r="D20" s="9">
        <v>2017000100034</v>
      </c>
      <c r="E20" s="24" t="s">
        <v>116</v>
      </c>
      <c r="F20" s="24" t="s">
        <v>104</v>
      </c>
      <c r="G20" s="24" t="s">
        <v>103</v>
      </c>
      <c r="H20" s="24" t="s">
        <v>5</v>
      </c>
      <c r="I20" s="1"/>
      <c r="J20" s="1"/>
      <c r="K20" s="1"/>
      <c r="L20" s="1"/>
      <c r="M20" s="1">
        <v>3714407117.5100002</v>
      </c>
      <c r="N20" s="1"/>
      <c r="O20" s="3"/>
      <c r="P20" s="1">
        <v>211064330</v>
      </c>
      <c r="Q20" s="1">
        <f t="shared" si="1"/>
        <v>3925471447.5100002</v>
      </c>
      <c r="R20" s="3"/>
    </row>
    <row r="21" spans="1:18" ht="75">
      <c r="A21" s="3">
        <v>15</v>
      </c>
      <c r="B21" s="3">
        <v>2017</v>
      </c>
      <c r="C21" s="24" t="s">
        <v>115</v>
      </c>
      <c r="D21" s="9">
        <v>20170000100012</v>
      </c>
      <c r="E21" s="24" t="s">
        <v>114</v>
      </c>
      <c r="F21" s="24" t="s">
        <v>104</v>
      </c>
      <c r="G21" s="24" t="s">
        <v>103</v>
      </c>
      <c r="H21" s="24" t="s">
        <v>5</v>
      </c>
      <c r="I21" s="1"/>
      <c r="J21" s="1"/>
      <c r="K21" s="1"/>
      <c r="L21" s="1"/>
      <c r="M21" s="1">
        <v>7128998176.6000004</v>
      </c>
      <c r="N21" s="1"/>
      <c r="O21" s="3"/>
      <c r="P21" s="1">
        <v>178554174.08000001</v>
      </c>
      <c r="Q21" s="1">
        <f t="shared" si="1"/>
        <v>7307552350.6800003</v>
      </c>
      <c r="R21" s="3"/>
    </row>
    <row r="22" spans="1:18" ht="75">
      <c r="A22" s="3">
        <v>16</v>
      </c>
      <c r="B22" s="3">
        <v>2017</v>
      </c>
      <c r="C22" s="24" t="s">
        <v>112</v>
      </c>
      <c r="D22" s="9">
        <v>2016000100027</v>
      </c>
      <c r="E22" s="24" t="s">
        <v>113</v>
      </c>
      <c r="F22" s="24" t="s">
        <v>104</v>
      </c>
      <c r="G22" s="24" t="s">
        <v>103</v>
      </c>
      <c r="H22" s="24" t="s">
        <v>5</v>
      </c>
      <c r="I22" s="1"/>
      <c r="J22" s="1"/>
      <c r="K22" s="1"/>
      <c r="L22" s="1"/>
      <c r="M22" s="1">
        <v>5078774029</v>
      </c>
      <c r="N22" s="1"/>
      <c r="O22" s="3"/>
      <c r="P22" s="1">
        <v>1322584604</v>
      </c>
      <c r="Q22" s="1">
        <f t="shared" si="1"/>
        <v>6401358633</v>
      </c>
      <c r="R22" s="3"/>
    </row>
    <row r="23" spans="1:18" ht="75">
      <c r="A23" s="3">
        <v>17</v>
      </c>
      <c r="B23" s="3">
        <v>2017</v>
      </c>
      <c r="C23" s="24" t="s">
        <v>112</v>
      </c>
      <c r="D23" s="9">
        <v>2017000100074</v>
      </c>
      <c r="E23" s="24" t="s">
        <v>111</v>
      </c>
      <c r="F23" s="24" t="s">
        <v>104</v>
      </c>
      <c r="G23" s="24" t="s">
        <v>103</v>
      </c>
      <c r="H23" s="24" t="s">
        <v>5</v>
      </c>
      <c r="I23" s="1"/>
      <c r="J23" s="1"/>
      <c r="K23" s="1"/>
      <c r="L23" s="1"/>
      <c r="M23" s="1">
        <v>5533633276</v>
      </c>
      <c r="N23" s="1"/>
      <c r="O23" s="3"/>
      <c r="P23" s="1">
        <v>650000000</v>
      </c>
      <c r="Q23" s="1">
        <f t="shared" si="1"/>
        <v>6183633276</v>
      </c>
      <c r="R23" s="3"/>
    </row>
    <row r="24" spans="1:18" s="10" customFormat="1" ht="45">
      <c r="A24" s="3">
        <v>18</v>
      </c>
      <c r="B24" s="35">
        <v>2017</v>
      </c>
      <c r="C24" s="36" t="s">
        <v>9</v>
      </c>
      <c r="D24" s="37" t="s">
        <v>8</v>
      </c>
      <c r="E24" s="36" t="s">
        <v>7</v>
      </c>
      <c r="F24" s="36" t="s">
        <v>1</v>
      </c>
      <c r="G24" s="36" t="s">
        <v>6</v>
      </c>
      <c r="H24" s="36" t="s">
        <v>5</v>
      </c>
      <c r="I24" s="38">
        <v>3414639976</v>
      </c>
      <c r="J24" s="38"/>
      <c r="K24" s="38"/>
      <c r="L24" s="38"/>
      <c r="M24" s="39"/>
      <c r="N24" s="38"/>
      <c r="O24" s="38"/>
      <c r="P24" s="38">
        <v>13868082293</v>
      </c>
      <c r="Q24" s="38">
        <f t="shared" si="1"/>
        <v>17282722269</v>
      </c>
      <c r="R24" s="35"/>
    </row>
    <row r="25" spans="1:18" ht="18">
      <c r="A25" s="759" t="s">
        <v>168</v>
      </c>
      <c r="B25" s="759"/>
      <c r="C25" s="759"/>
      <c r="D25" s="759"/>
      <c r="E25" s="759"/>
      <c r="F25" s="759"/>
      <c r="G25" s="759"/>
      <c r="H25" s="22"/>
      <c r="I25" s="23">
        <f t="shared" ref="I25:Q25" si="2">+SUM(I8:I24)</f>
        <v>65069464635</v>
      </c>
      <c r="J25" s="23">
        <f t="shared" si="2"/>
        <v>0</v>
      </c>
      <c r="K25" s="23">
        <f t="shared" si="2"/>
        <v>0</v>
      </c>
      <c r="L25" s="23">
        <f t="shared" si="2"/>
        <v>0</v>
      </c>
      <c r="M25" s="23">
        <f t="shared" si="2"/>
        <v>25799420811.120003</v>
      </c>
      <c r="N25" s="23">
        <f t="shared" si="2"/>
        <v>0</v>
      </c>
      <c r="O25" s="23">
        <f t="shared" si="2"/>
        <v>44901675</v>
      </c>
      <c r="P25" s="23">
        <f t="shared" si="2"/>
        <v>31283776259.5</v>
      </c>
      <c r="Q25" s="23">
        <f t="shared" si="2"/>
        <v>122197563380.62</v>
      </c>
      <c r="R25" s="20"/>
    </row>
    <row r="26" spans="1:18" ht="75">
      <c r="A26" s="3">
        <v>1</v>
      </c>
      <c r="B26" s="3">
        <v>2018</v>
      </c>
      <c r="C26" s="3" t="s">
        <v>110</v>
      </c>
      <c r="D26" s="5" t="s">
        <v>109</v>
      </c>
      <c r="E26" s="24" t="s">
        <v>108</v>
      </c>
      <c r="F26" s="24" t="s">
        <v>104</v>
      </c>
      <c r="G26" s="24" t="s">
        <v>103</v>
      </c>
      <c r="H26" s="24" t="s">
        <v>5</v>
      </c>
      <c r="I26" s="1"/>
      <c r="J26" s="1"/>
      <c r="K26" s="1"/>
      <c r="L26" s="1"/>
      <c r="M26" s="1">
        <v>4000000000</v>
      </c>
      <c r="N26" s="1"/>
      <c r="O26" s="3"/>
      <c r="P26" s="1">
        <v>404970720</v>
      </c>
      <c r="Q26" s="1">
        <f t="shared" ref="Q26:Q39" si="3">+SUM(I26:P26)</f>
        <v>4404970720</v>
      </c>
      <c r="R26" s="3"/>
    </row>
    <row r="27" spans="1:18" ht="60">
      <c r="A27" s="3">
        <v>2</v>
      </c>
      <c r="B27" s="3">
        <v>2018</v>
      </c>
      <c r="C27" s="24" t="s">
        <v>139</v>
      </c>
      <c r="D27" s="11">
        <v>2017000050062</v>
      </c>
      <c r="E27" s="24" t="s">
        <v>138</v>
      </c>
      <c r="F27" s="24" t="s">
        <v>133</v>
      </c>
      <c r="G27" s="24" t="s">
        <v>137</v>
      </c>
      <c r="H27" s="3" t="s">
        <v>40</v>
      </c>
      <c r="I27" s="1">
        <v>2100129600</v>
      </c>
      <c r="J27" s="1"/>
      <c r="K27" s="1"/>
      <c r="L27" s="1"/>
      <c r="M27" s="1"/>
      <c r="N27" s="1"/>
      <c r="O27" s="1"/>
      <c r="P27" s="1">
        <v>900000000</v>
      </c>
      <c r="Q27" s="1">
        <f t="shared" si="3"/>
        <v>3000129600</v>
      </c>
      <c r="R27" s="7" t="s">
        <v>163</v>
      </c>
    </row>
    <row r="28" spans="1:18" ht="75">
      <c r="A28" s="3">
        <v>3</v>
      </c>
      <c r="B28" s="3">
        <v>2018</v>
      </c>
      <c r="C28" s="24" t="s">
        <v>63</v>
      </c>
      <c r="D28" s="11">
        <v>2017000050064</v>
      </c>
      <c r="E28" s="24" t="s">
        <v>62</v>
      </c>
      <c r="F28" s="3" t="s">
        <v>59</v>
      </c>
      <c r="G28" s="24" t="s">
        <v>58</v>
      </c>
      <c r="H28" s="3">
        <v>2018</v>
      </c>
      <c r="I28" s="1">
        <v>2532327281</v>
      </c>
      <c r="J28" s="1"/>
      <c r="K28" s="1"/>
      <c r="L28" s="1"/>
      <c r="M28" s="1"/>
      <c r="N28" s="1"/>
      <c r="O28" s="1"/>
      <c r="P28" s="1">
        <v>440515408</v>
      </c>
      <c r="Q28" s="1">
        <f t="shared" si="3"/>
        <v>2972842689</v>
      </c>
      <c r="R28" s="7" t="s">
        <v>164</v>
      </c>
    </row>
    <row r="29" spans="1:18" ht="45">
      <c r="A29" s="99">
        <v>4</v>
      </c>
      <c r="B29" s="99">
        <v>2018</v>
      </c>
      <c r="C29" s="100" t="s">
        <v>101</v>
      </c>
      <c r="D29" s="102">
        <v>2017000050087</v>
      </c>
      <c r="E29" s="100" t="s">
        <v>100</v>
      </c>
      <c r="F29" s="100" t="s">
        <v>99</v>
      </c>
      <c r="G29" s="100" t="s">
        <v>98</v>
      </c>
      <c r="H29" s="99">
        <v>2018</v>
      </c>
      <c r="I29" s="101">
        <v>1423058880</v>
      </c>
      <c r="J29" s="1"/>
      <c r="K29" s="1"/>
      <c r="L29" s="1"/>
      <c r="M29" s="1"/>
      <c r="N29" s="1"/>
      <c r="O29" s="1"/>
      <c r="P29" s="1">
        <v>700000000</v>
      </c>
      <c r="Q29" s="1">
        <f t="shared" si="3"/>
        <v>2123058880</v>
      </c>
      <c r="R29" s="7" t="s">
        <v>164</v>
      </c>
    </row>
    <row r="30" spans="1:18" ht="75">
      <c r="A30" s="3">
        <v>5</v>
      </c>
      <c r="B30" s="3">
        <v>2018</v>
      </c>
      <c r="C30" s="24" t="s">
        <v>61</v>
      </c>
      <c r="D30" s="11">
        <v>2017000050029</v>
      </c>
      <c r="E30" s="24" t="s">
        <v>229</v>
      </c>
      <c r="F30" s="24" t="s">
        <v>128</v>
      </c>
      <c r="G30" s="24" t="s">
        <v>121</v>
      </c>
      <c r="H30" s="3">
        <v>2018</v>
      </c>
      <c r="I30" s="1">
        <v>346000000</v>
      </c>
      <c r="J30" s="1"/>
      <c r="K30" s="1"/>
      <c r="L30" s="1"/>
      <c r="M30" s="1"/>
      <c r="N30" s="1"/>
      <c r="O30" s="1"/>
      <c r="P30" s="1">
        <v>554000000</v>
      </c>
      <c r="Q30" s="1">
        <f t="shared" si="3"/>
        <v>900000000</v>
      </c>
      <c r="R30" s="7" t="s">
        <v>165</v>
      </c>
    </row>
    <row r="31" spans="1:18" ht="75">
      <c r="A31" s="3">
        <v>6</v>
      </c>
      <c r="B31" s="3">
        <v>2018</v>
      </c>
      <c r="C31" s="24" t="s">
        <v>61</v>
      </c>
      <c r="D31" s="11">
        <v>2017000050036</v>
      </c>
      <c r="E31" s="24" t="s">
        <v>60</v>
      </c>
      <c r="F31" s="3" t="s">
        <v>59</v>
      </c>
      <c r="G31" s="24" t="s">
        <v>58</v>
      </c>
      <c r="H31" s="3" t="s">
        <v>36</v>
      </c>
      <c r="I31" s="1">
        <v>2177605819</v>
      </c>
      <c r="J31" s="1"/>
      <c r="K31" s="1"/>
      <c r="L31" s="1"/>
      <c r="M31" s="1"/>
      <c r="N31" s="1"/>
      <c r="O31" s="1"/>
      <c r="P31" s="1">
        <v>2574052653</v>
      </c>
      <c r="Q31" s="1">
        <f t="shared" si="3"/>
        <v>4751658472</v>
      </c>
      <c r="R31" s="3"/>
    </row>
    <row r="32" spans="1:18" ht="60">
      <c r="A32" s="3">
        <v>7</v>
      </c>
      <c r="B32" s="3">
        <v>2018</v>
      </c>
      <c r="C32" s="24" t="s">
        <v>39</v>
      </c>
      <c r="D32" s="5" t="s">
        <v>38</v>
      </c>
      <c r="E32" s="24" t="s">
        <v>37</v>
      </c>
      <c r="F32" s="3" t="s">
        <v>12</v>
      </c>
      <c r="G32" s="3" t="s">
        <v>11</v>
      </c>
      <c r="H32" s="3" t="s">
        <v>36</v>
      </c>
      <c r="I32" s="1">
        <v>7441105086</v>
      </c>
      <c r="J32" s="1"/>
      <c r="K32" s="1"/>
      <c r="L32" s="1"/>
      <c r="M32" s="1"/>
      <c r="N32" s="1"/>
      <c r="O32" s="1"/>
      <c r="P32" s="1"/>
      <c r="Q32" s="1">
        <f t="shared" si="3"/>
        <v>7441105086</v>
      </c>
      <c r="R32" s="3"/>
    </row>
    <row r="33" spans="1:18" ht="60">
      <c r="A33" s="3">
        <v>8</v>
      </c>
      <c r="B33" s="3">
        <v>2018</v>
      </c>
      <c r="C33" s="24" t="s">
        <v>78</v>
      </c>
      <c r="D33" s="5" t="s">
        <v>77</v>
      </c>
      <c r="E33" s="24" t="s">
        <v>76</v>
      </c>
      <c r="F33" s="3" t="s">
        <v>73</v>
      </c>
      <c r="G33" s="24" t="s">
        <v>72</v>
      </c>
      <c r="H33" s="3">
        <v>2018</v>
      </c>
      <c r="I33" s="1">
        <v>19395559645</v>
      </c>
      <c r="J33" s="1"/>
      <c r="K33" s="1"/>
      <c r="L33" s="1"/>
      <c r="M33" s="1"/>
      <c r="N33" s="1"/>
      <c r="O33" s="1"/>
      <c r="P33" s="1"/>
      <c r="Q33" s="1">
        <f t="shared" si="3"/>
        <v>19395559645</v>
      </c>
      <c r="R33" s="3"/>
    </row>
    <row r="34" spans="1:18" ht="90">
      <c r="A34" s="3">
        <v>9</v>
      </c>
      <c r="B34" s="3">
        <v>2018</v>
      </c>
      <c r="C34" s="24" t="s">
        <v>35</v>
      </c>
      <c r="D34" s="5" t="s">
        <v>127</v>
      </c>
      <c r="E34" s="24" t="s">
        <v>126</v>
      </c>
      <c r="F34" s="24" t="s">
        <v>119</v>
      </c>
      <c r="G34" s="24" t="s">
        <v>121</v>
      </c>
      <c r="H34" s="3">
        <v>2018</v>
      </c>
      <c r="I34" s="1"/>
      <c r="J34" s="1"/>
      <c r="K34" s="1">
        <v>1376557725</v>
      </c>
      <c r="L34" s="1"/>
      <c r="M34" s="1"/>
      <c r="N34" s="1"/>
      <c r="O34" s="1"/>
      <c r="P34" s="1">
        <v>600000000</v>
      </c>
      <c r="Q34" s="1">
        <f>+SUM(J34:P34)</f>
        <v>1976557725</v>
      </c>
      <c r="R34" s="3"/>
    </row>
    <row r="35" spans="1:18" ht="60">
      <c r="A35" s="3">
        <v>10</v>
      </c>
      <c r="B35" s="3">
        <v>2018</v>
      </c>
      <c r="C35" s="24" t="s">
        <v>35</v>
      </c>
      <c r="D35" s="5" t="s">
        <v>34</v>
      </c>
      <c r="E35" s="24" t="s">
        <v>33</v>
      </c>
      <c r="F35" s="3" t="s">
        <v>12</v>
      </c>
      <c r="G35" s="3" t="s">
        <v>11</v>
      </c>
      <c r="H35" s="3">
        <v>2018</v>
      </c>
      <c r="I35" s="1">
        <v>8983328881</v>
      </c>
      <c r="J35" s="1"/>
      <c r="K35" s="1"/>
      <c r="L35" s="1"/>
      <c r="M35" s="1"/>
      <c r="N35" s="1"/>
      <c r="O35" s="1"/>
      <c r="P35" s="1"/>
      <c r="Q35" s="1">
        <f t="shared" si="3"/>
        <v>8983328881</v>
      </c>
      <c r="R35" s="3"/>
    </row>
    <row r="36" spans="1:18" ht="45">
      <c r="A36" s="3">
        <v>11</v>
      </c>
      <c r="B36" s="3">
        <v>2018</v>
      </c>
      <c r="C36" s="24" t="s">
        <v>35</v>
      </c>
      <c r="D36" s="5" t="s">
        <v>125</v>
      </c>
      <c r="E36" s="24" t="s">
        <v>124</v>
      </c>
      <c r="F36" s="24" t="s">
        <v>119</v>
      </c>
      <c r="G36" s="24" t="s">
        <v>121</v>
      </c>
      <c r="H36" s="3" t="s">
        <v>40</v>
      </c>
      <c r="I36" s="1"/>
      <c r="J36" s="1"/>
      <c r="K36" s="1">
        <v>18000000000</v>
      </c>
      <c r="L36" s="1"/>
      <c r="M36" s="1"/>
      <c r="N36" s="1"/>
      <c r="O36" s="1"/>
      <c r="P36" s="1"/>
      <c r="Q36" s="1">
        <f>+SUM(J36:P36)</f>
        <v>18000000000</v>
      </c>
      <c r="R36" s="3"/>
    </row>
    <row r="37" spans="1:18" ht="105">
      <c r="A37" s="29">
        <v>12</v>
      </c>
      <c r="B37" s="29">
        <v>2018</v>
      </c>
      <c r="C37" s="33" t="s">
        <v>32</v>
      </c>
      <c r="D37" s="31" t="s">
        <v>123</v>
      </c>
      <c r="E37" s="33" t="s">
        <v>122</v>
      </c>
      <c r="F37" s="33" t="s">
        <v>119</v>
      </c>
      <c r="G37" s="33" t="s">
        <v>121</v>
      </c>
      <c r="H37" s="29">
        <v>2018</v>
      </c>
      <c r="I37" s="34"/>
      <c r="J37" s="34"/>
      <c r="K37" s="34">
        <v>2911072264</v>
      </c>
      <c r="L37" s="34"/>
      <c r="M37" s="34"/>
      <c r="N37" s="34"/>
      <c r="O37" s="34"/>
      <c r="P37" s="34"/>
      <c r="Q37" s="34">
        <f>+SUM(J37:P37)</f>
        <v>2911072264</v>
      </c>
      <c r="R37" s="29" t="s">
        <v>162</v>
      </c>
    </row>
    <row r="38" spans="1:18" ht="45">
      <c r="A38" s="3">
        <v>13</v>
      </c>
      <c r="B38" s="3">
        <v>2018</v>
      </c>
      <c r="C38" s="24" t="s">
        <v>32</v>
      </c>
      <c r="D38" s="5" t="s">
        <v>31</v>
      </c>
      <c r="E38" s="24" t="s">
        <v>30</v>
      </c>
      <c r="F38" s="3" t="s">
        <v>12</v>
      </c>
      <c r="G38" s="3" t="s">
        <v>11</v>
      </c>
      <c r="H38" s="3">
        <v>2018</v>
      </c>
      <c r="I38" s="1">
        <v>3935792642</v>
      </c>
      <c r="J38" s="1"/>
      <c r="K38" s="1"/>
      <c r="L38" s="1"/>
      <c r="M38" s="1"/>
      <c r="N38" s="1"/>
      <c r="O38" s="1"/>
      <c r="P38" s="1"/>
      <c r="Q38" s="1">
        <f t="shared" si="3"/>
        <v>3935792642</v>
      </c>
      <c r="R38" s="3"/>
    </row>
    <row r="39" spans="1:18" ht="45">
      <c r="A39" s="3">
        <v>14</v>
      </c>
      <c r="B39" s="3">
        <v>2018</v>
      </c>
      <c r="C39" s="24" t="s">
        <v>4</v>
      </c>
      <c r="D39" s="5" t="s">
        <v>3</v>
      </c>
      <c r="E39" s="24" t="s">
        <v>2</v>
      </c>
      <c r="F39" s="24" t="s">
        <v>1</v>
      </c>
      <c r="G39" s="3" t="s">
        <v>0</v>
      </c>
      <c r="H39" s="3">
        <v>2018</v>
      </c>
      <c r="I39" s="1"/>
      <c r="J39" s="1"/>
      <c r="K39" s="1"/>
      <c r="L39" s="1">
        <v>4999900475</v>
      </c>
      <c r="M39" s="1"/>
      <c r="N39" s="3"/>
      <c r="O39" s="1"/>
      <c r="P39" s="1"/>
      <c r="Q39" s="1">
        <f t="shared" si="3"/>
        <v>4999900475</v>
      </c>
      <c r="R39" s="3"/>
    </row>
    <row r="40" spans="1:18" ht="60">
      <c r="A40" s="3">
        <v>15</v>
      </c>
      <c r="B40" s="3">
        <v>2018</v>
      </c>
      <c r="C40" s="24" t="s">
        <v>29</v>
      </c>
      <c r="D40" s="5" t="s">
        <v>28</v>
      </c>
      <c r="E40" s="24" t="s">
        <v>27</v>
      </c>
      <c r="F40" s="3" t="s">
        <v>12</v>
      </c>
      <c r="G40" s="3" t="s">
        <v>11</v>
      </c>
      <c r="H40" s="3">
        <v>2018</v>
      </c>
      <c r="I40" s="1"/>
      <c r="J40" s="1"/>
      <c r="K40" s="1"/>
      <c r="L40" s="1">
        <v>11457047617</v>
      </c>
      <c r="M40" s="1"/>
      <c r="N40" s="3"/>
      <c r="O40" s="1"/>
      <c r="P40" s="1"/>
      <c r="Q40" s="1">
        <f>+SUM(M40:P40)</f>
        <v>0</v>
      </c>
      <c r="R40" s="3"/>
    </row>
    <row r="41" spans="1:18" ht="18">
      <c r="A41" s="759" t="s">
        <v>170</v>
      </c>
      <c r="B41" s="759"/>
      <c r="C41" s="759"/>
      <c r="D41" s="759"/>
      <c r="E41" s="759"/>
      <c r="F41" s="759"/>
      <c r="G41" s="759"/>
      <c r="H41" s="20"/>
      <c r="I41" s="23">
        <f>+I26+I27+I28+I29+I30+I31+I32+I33+I34+I35+I36+I38+I39+I40</f>
        <v>48334907834</v>
      </c>
      <c r="J41" s="23">
        <f t="shared" ref="J41:Q41" si="4">+J26+J27+J28+J29+J30+J31+J32+J33+J34+J35+J36+J38+J39+J40</f>
        <v>0</v>
      </c>
      <c r="K41" s="23">
        <f t="shared" si="4"/>
        <v>19376557725</v>
      </c>
      <c r="L41" s="23">
        <f t="shared" si="4"/>
        <v>16456948092</v>
      </c>
      <c r="M41" s="23">
        <f t="shared" si="4"/>
        <v>4000000000</v>
      </c>
      <c r="N41" s="23">
        <f t="shared" si="4"/>
        <v>0</v>
      </c>
      <c r="O41" s="23">
        <f t="shared" si="4"/>
        <v>0</v>
      </c>
      <c r="P41" s="23">
        <f t="shared" si="4"/>
        <v>6173538781</v>
      </c>
      <c r="Q41" s="23">
        <f t="shared" si="4"/>
        <v>82884904815</v>
      </c>
      <c r="R41" s="20"/>
    </row>
    <row r="42" spans="1:18" ht="75">
      <c r="A42" s="3">
        <v>1</v>
      </c>
      <c r="B42" s="3">
        <v>2019</v>
      </c>
      <c r="C42" s="3" t="s">
        <v>107</v>
      </c>
      <c r="D42" s="5" t="s">
        <v>106</v>
      </c>
      <c r="E42" s="24" t="s">
        <v>105</v>
      </c>
      <c r="F42" s="24" t="s">
        <v>104</v>
      </c>
      <c r="G42" s="24" t="s">
        <v>103</v>
      </c>
      <c r="H42" s="3" t="s">
        <v>102</v>
      </c>
      <c r="I42" s="1"/>
      <c r="J42" s="1"/>
      <c r="K42" s="1"/>
      <c r="L42" s="1"/>
      <c r="M42" s="1">
        <v>7498967749</v>
      </c>
      <c r="N42" s="1"/>
      <c r="O42" s="3"/>
      <c r="P42" s="1">
        <v>2000000000</v>
      </c>
      <c r="Q42" s="1">
        <v>9498967749</v>
      </c>
      <c r="R42" s="3"/>
    </row>
    <row r="43" spans="1:18" ht="60">
      <c r="A43" s="3">
        <v>2</v>
      </c>
      <c r="B43" s="3">
        <v>2019</v>
      </c>
      <c r="C43" s="3" t="s">
        <v>24</v>
      </c>
      <c r="D43" s="11">
        <v>2018000050039</v>
      </c>
      <c r="E43" s="24" t="s">
        <v>136</v>
      </c>
      <c r="F43" s="24" t="s">
        <v>133</v>
      </c>
      <c r="G43" s="24" t="s">
        <v>135</v>
      </c>
      <c r="H43" s="3" t="s">
        <v>10</v>
      </c>
      <c r="I43" s="1">
        <v>3116799013</v>
      </c>
      <c r="J43" s="1"/>
      <c r="K43" s="1"/>
      <c r="L43" s="1"/>
      <c r="M43" s="1"/>
      <c r="N43" s="1"/>
      <c r="O43" s="1"/>
      <c r="P43" s="1">
        <f>4024793625-I43</f>
        <v>907994612</v>
      </c>
      <c r="Q43" s="1">
        <f t="shared" ref="Q43:Q65" si="5">+SUM(I43:P43)</f>
        <v>4024793625</v>
      </c>
      <c r="R43" s="3"/>
    </row>
    <row r="44" spans="1:18" ht="75">
      <c r="A44" s="3">
        <v>3</v>
      </c>
      <c r="B44" s="3">
        <v>2019</v>
      </c>
      <c r="C44" s="3" t="s">
        <v>24</v>
      </c>
      <c r="D44" s="11">
        <v>2018000050055</v>
      </c>
      <c r="E44" s="24" t="s">
        <v>26</v>
      </c>
      <c r="F44" s="24" t="s">
        <v>12</v>
      </c>
      <c r="G44" s="24" t="s">
        <v>11</v>
      </c>
      <c r="H44" s="3" t="s">
        <v>10</v>
      </c>
      <c r="I44" s="1">
        <v>17928531277</v>
      </c>
      <c r="J44" s="1"/>
      <c r="K44" s="1"/>
      <c r="L44" s="1"/>
      <c r="M44" s="1"/>
      <c r="N44" s="1"/>
      <c r="O44" s="1"/>
      <c r="P44" s="1"/>
      <c r="Q44" s="1">
        <f t="shared" si="5"/>
        <v>17928531277</v>
      </c>
      <c r="R44" s="3"/>
    </row>
    <row r="45" spans="1:18" ht="45">
      <c r="A45" s="3">
        <v>4</v>
      </c>
      <c r="B45" s="3">
        <v>2019</v>
      </c>
      <c r="C45" s="3" t="s">
        <v>24</v>
      </c>
      <c r="D45" s="11">
        <v>2019000050059</v>
      </c>
      <c r="E45" s="24" t="s">
        <v>25</v>
      </c>
      <c r="F45" s="24" t="s">
        <v>12</v>
      </c>
      <c r="G45" s="24" t="s">
        <v>11</v>
      </c>
      <c r="H45" s="3" t="s">
        <v>10</v>
      </c>
      <c r="I45" s="1">
        <v>4870657724</v>
      </c>
      <c r="J45" s="1"/>
      <c r="K45" s="1"/>
      <c r="L45" s="1"/>
      <c r="M45" s="1"/>
      <c r="N45" s="1"/>
      <c r="O45" s="1"/>
      <c r="P45" s="1"/>
      <c r="Q45" s="1">
        <f t="shared" si="5"/>
        <v>4870657724</v>
      </c>
      <c r="R45" s="3"/>
    </row>
    <row r="46" spans="1:18" ht="75">
      <c r="A46" s="3">
        <v>5</v>
      </c>
      <c r="B46" s="3">
        <v>2019</v>
      </c>
      <c r="C46" s="3" t="s">
        <v>24</v>
      </c>
      <c r="D46" s="11">
        <v>2019000050002</v>
      </c>
      <c r="E46" s="24" t="s">
        <v>23</v>
      </c>
      <c r="F46" s="24" t="s">
        <v>12</v>
      </c>
      <c r="G46" s="24" t="s">
        <v>11</v>
      </c>
      <c r="H46" s="3" t="s">
        <v>10</v>
      </c>
      <c r="I46" s="1">
        <v>5745879373</v>
      </c>
      <c r="J46" s="1"/>
      <c r="K46" s="1"/>
      <c r="L46" s="1"/>
      <c r="M46" s="1"/>
      <c r="N46" s="1"/>
      <c r="O46" s="1"/>
      <c r="P46" s="1"/>
      <c r="Q46" s="1">
        <f t="shared" si="5"/>
        <v>5745879373</v>
      </c>
      <c r="R46" s="3"/>
    </row>
    <row r="47" spans="1:18" ht="45">
      <c r="A47" s="3">
        <v>6</v>
      </c>
      <c r="B47" s="3">
        <v>2019</v>
      </c>
      <c r="C47" s="3" t="s">
        <v>21</v>
      </c>
      <c r="D47" s="11">
        <v>2019000050003</v>
      </c>
      <c r="E47" s="24" t="s">
        <v>22</v>
      </c>
      <c r="F47" s="24" t="s">
        <v>12</v>
      </c>
      <c r="G47" s="24" t="s">
        <v>11</v>
      </c>
      <c r="H47" s="3" t="s">
        <v>10</v>
      </c>
      <c r="I47" s="1">
        <v>4049029755</v>
      </c>
      <c r="J47" s="1"/>
      <c r="K47" s="1"/>
      <c r="L47" s="1"/>
      <c r="M47" s="1"/>
      <c r="N47" s="1"/>
      <c r="O47" s="1"/>
      <c r="P47" s="1"/>
      <c r="Q47" s="1">
        <f t="shared" si="5"/>
        <v>4049029755</v>
      </c>
      <c r="R47" s="3"/>
    </row>
    <row r="48" spans="1:18" ht="45">
      <c r="A48" s="3">
        <v>7</v>
      </c>
      <c r="B48" s="3">
        <v>2019</v>
      </c>
      <c r="C48" s="3" t="s">
        <v>21</v>
      </c>
      <c r="D48" s="11">
        <v>2019000050011</v>
      </c>
      <c r="E48" s="24" t="s">
        <v>20</v>
      </c>
      <c r="F48" s="24" t="s">
        <v>12</v>
      </c>
      <c r="G48" s="24" t="s">
        <v>11</v>
      </c>
      <c r="H48" s="3" t="s">
        <v>10</v>
      </c>
      <c r="I48" s="1">
        <v>7339441010</v>
      </c>
      <c r="J48" s="1"/>
      <c r="K48" s="1"/>
      <c r="L48" s="1"/>
      <c r="M48" s="1"/>
      <c r="N48" s="1"/>
      <c r="O48" s="1"/>
      <c r="P48" s="1"/>
      <c r="Q48" s="1">
        <f t="shared" si="5"/>
        <v>7339441010</v>
      </c>
      <c r="R48" s="3"/>
    </row>
    <row r="49" spans="1:18" ht="90">
      <c r="A49" s="3">
        <v>8</v>
      </c>
      <c r="B49" s="3">
        <v>2019</v>
      </c>
      <c r="C49" s="3" t="s">
        <v>16</v>
      </c>
      <c r="D49" s="11">
        <v>2018000050036</v>
      </c>
      <c r="E49" s="24" t="s">
        <v>120</v>
      </c>
      <c r="F49" s="24" t="s">
        <v>119</v>
      </c>
      <c r="G49" s="24" t="s">
        <v>118</v>
      </c>
      <c r="H49" s="3" t="s">
        <v>10</v>
      </c>
      <c r="I49" s="1"/>
      <c r="J49" s="1"/>
      <c r="K49" s="1">
        <v>2105788182</v>
      </c>
      <c r="L49" s="1"/>
      <c r="M49" s="1"/>
      <c r="N49" s="1"/>
      <c r="O49" s="1"/>
      <c r="P49" s="1">
        <f>2305788182-K49</f>
        <v>200000000</v>
      </c>
      <c r="Q49" s="1">
        <f>+SUM(J49:P49)</f>
        <v>2305788182</v>
      </c>
      <c r="R49" s="3"/>
    </row>
    <row r="50" spans="1:18" ht="45">
      <c r="A50" s="3">
        <v>9</v>
      </c>
      <c r="B50" s="3">
        <v>2019</v>
      </c>
      <c r="C50" s="3" t="s">
        <v>16</v>
      </c>
      <c r="D50" s="11">
        <v>2019000050005</v>
      </c>
      <c r="E50" s="24" t="s">
        <v>19</v>
      </c>
      <c r="F50" s="24" t="s">
        <v>12</v>
      </c>
      <c r="G50" s="24" t="s">
        <v>11</v>
      </c>
      <c r="H50" s="3" t="s">
        <v>10</v>
      </c>
      <c r="I50" s="1">
        <v>14057373703</v>
      </c>
      <c r="J50" s="1"/>
      <c r="K50" s="1"/>
      <c r="L50" s="1"/>
      <c r="M50" s="1"/>
      <c r="N50" s="1"/>
      <c r="O50" s="1"/>
      <c r="P50" s="1"/>
      <c r="Q50" s="1">
        <f t="shared" si="5"/>
        <v>14057373703</v>
      </c>
      <c r="R50" s="3"/>
    </row>
    <row r="51" spans="1:18" ht="60">
      <c r="A51" s="3">
        <v>10</v>
      </c>
      <c r="B51" s="3">
        <v>2019</v>
      </c>
      <c r="C51" s="3" t="s">
        <v>16</v>
      </c>
      <c r="D51" s="11">
        <v>2019000050016</v>
      </c>
      <c r="E51" s="24" t="s">
        <v>18</v>
      </c>
      <c r="F51" s="24" t="s">
        <v>12</v>
      </c>
      <c r="G51" s="24" t="s">
        <v>11</v>
      </c>
      <c r="H51" s="3" t="s">
        <v>10</v>
      </c>
      <c r="I51" s="1">
        <v>5718724028</v>
      </c>
      <c r="J51" s="1"/>
      <c r="K51" s="1"/>
      <c r="L51" s="1"/>
      <c r="M51" s="1"/>
      <c r="N51" s="1"/>
      <c r="O51" s="1"/>
      <c r="P51" s="1"/>
      <c r="Q51" s="1">
        <f t="shared" si="5"/>
        <v>5718724028</v>
      </c>
      <c r="R51" s="3"/>
    </row>
    <row r="52" spans="1:18" ht="60">
      <c r="A52" s="3">
        <v>11</v>
      </c>
      <c r="B52" s="3">
        <v>2019</v>
      </c>
      <c r="C52" s="3" t="s">
        <v>16</v>
      </c>
      <c r="D52" s="11">
        <v>2019000050020</v>
      </c>
      <c r="E52" s="24" t="s">
        <v>75</v>
      </c>
      <c r="F52" s="24" t="s">
        <v>73</v>
      </c>
      <c r="G52" s="24" t="s">
        <v>72</v>
      </c>
      <c r="H52" s="3" t="s">
        <v>10</v>
      </c>
      <c r="I52" s="1"/>
      <c r="J52" s="1">
        <v>20536293937</v>
      </c>
      <c r="K52" s="1"/>
      <c r="L52" s="1"/>
      <c r="M52" s="1"/>
      <c r="N52" s="1"/>
      <c r="O52" s="1"/>
      <c r="P52" s="1"/>
      <c r="Q52" s="1">
        <f t="shared" si="5"/>
        <v>20536293937</v>
      </c>
      <c r="R52" s="3"/>
    </row>
    <row r="53" spans="1:18" ht="45">
      <c r="A53" s="3">
        <v>12</v>
      </c>
      <c r="B53" s="3">
        <v>2019</v>
      </c>
      <c r="C53" s="3" t="s">
        <v>16</v>
      </c>
      <c r="D53" s="11">
        <v>2019000050023</v>
      </c>
      <c r="E53" s="24" t="s">
        <v>17</v>
      </c>
      <c r="F53" s="24" t="s">
        <v>12</v>
      </c>
      <c r="G53" s="24" t="s">
        <v>11</v>
      </c>
      <c r="H53" s="3" t="s">
        <v>10</v>
      </c>
      <c r="I53" s="1">
        <v>7310087087</v>
      </c>
      <c r="J53" s="1"/>
      <c r="K53" s="1"/>
      <c r="L53" s="1"/>
      <c r="M53" s="1"/>
      <c r="N53" s="1"/>
      <c r="O53" s="1"/>
      <c r="P53" s="1"/>
      <c r="Q53" s="1">
        <f t="shared" si="5"/>
        <v>7310087087</v>
      </c>
      <c r="R53" s="3"/>
    </row>
    <row r="54" spans="1:18" ht="45">
      <c r="A54" s="3">
        <v>13</v>
      </c>
      <c r="B54" s="3">
        <v>2019</v>
      </c>
      <c r="C54" s="3" t="s">
        <v>16</v>
      </c>
      <c r="D54" s="11">
        <v>2019000050029</v>
      </c>
      <c r="E54" s="24" t="s">
        <v>15</v>
      </c>
      <c r="F54" s="24" t="s">
        <v>12</v>
      </c>
      <c r="G54" s="24" t="s">
        <v>11</v>
      </c>
      <c r="H54" s="3" t="s">
        <v>10</v>
      </c>
      <c r="I54" s="1">
        <v>5322582208</v>
      </c>
      <c r="J54" s="1"/>
      <c r="K54" s="1"/>
      <c r="L54" s="1"/>
      <c r="M54" s="1"/>
      <c r="N54" s="1"/>
      <c r="O54" s="1"/>
      <c r="P54" s="1"/>
      <c r="Q54" s="1">
        <f t="shared" si="5"/>
        <v>5322582208</v>
      </c>
      <c r="R54" s="3"/>
    </row>
    <row r="55" spans="1:18" ht="45">
      <c r="A55" s="3">
        <v>14</v>
      </c>
      <c r="B55" s="3">
        <v>2019</v>
      </c>
      <c r="C55" s="3" t="s">
        <v>54</v>
      </c>
      <c r="D55" s="11">
        <v>2019000050013</v>
      </c>
      <c r="E55" s="24" t="s">
        <v>134</v>
      </c>
      <c r="F55" s="24" t="s">
        <v>133</v>
      </c>
      <c r="G55" s="24" t="s">
        <v>11</v>
      </c>
      <c r="H55" s="3" t="s">
        <v>10</v>
      </c>
      <c r="I55" s="1">
        <v>3152125044</v>
      </c>
      <c r="J55" s="1"/>
      <c r="K55" s="1"/>
      <c r="L55" s="1"/>
      <c r="M55" s="1"/>
      <c r="N55" s="1"/>
      <c r="O55" s="1"/>
      <c r="P55" s="1"/>
      <c r="Q55" s="1">
        <f t="shared" si="5"/>
        <v>3152125044</v>
      </c>
      <c r="R55" s="3"/>
    </row>
    <row r="56" spans="1:18" ht="60">
      <c r="A56" s="3">
        <v>15</v>
      </c>
      <c r="B56" s="3">
        <v>2019</v>
      </c>
      <c r="C56" s="3" t="s">
        <v>54</v>
      </c>
      <c r="D56" s="11">
        <v>2019000050036</v>
      </c>
      <c r="E56" s="24" t="s">
        <v>53</v>
      </c>
      <c r="F56" s="24" t="s">
        <v>52</v>
      </c>
      <c r="G56" s="24" t="s">
        <v>51</v>
      </c>
      <c r="H56" s="3" t="s">
        <v>10</v>
      </c>
      <c r="I56" s="1">
        <v>2385000000</v>
      </c>
      <c r="J56" s="1"/>
      <c r="K56" s="1"/>
      <c r="L56" s="1"/>
      <c r="M56" s="1"/>
      <c r="N56" s="1"/>
      <c r="O56" s="1"/>
      <c r="P56" s="1"/>
      <c r="Q56" s="1">
        <f t="shared" si="5"/>
        <v>2385000000</v>
      </c>
      <c r="R56" s="3"/>
    </row>
    <row r="57" spans="1:18" ht="75">
      <c r="A57" s="3">
        <v>16</v>
      </c>
      <c r="B57" s="3">
        <v>2019</v>
      </c>
      <c r="C57" s="3" t="s">
        <v>54</v>
      </c>
      <c r="D57" s="11">
        <v>2019000050044</v>
      </c>
      <c r="E57" s="24" t="s">
        <v>74</v>
      </c>
      <c r="F57" s="24" t="s">
        <v>73</v>
      </c>
      <c r="G57" s="24" t="s">
        <v>72</v>
      </c>
      <c r="H57" s="3" t="s">
        <v>10</v>
      </c>
      <c r="I57" s="1"/>
      <c r="J57" s="1">
        <v>18301749135</v>
      </c>
      <c r="K57" s="1"/>
      <c r="L57" s="1"/>
      <c r="M57" s="1"/>
      <c r="N57" s="1"/>
      <c r="O57" s="1"/>
      <c r="P57" s="1"/>
      <c r="Q57" s="1">
        <f t="shared" si="5"/>
        <v>18301749135</v>
      </c>
      <c r="R57" s="3"/>
    </row>
    <row r="58" spans="1:18" ht="45">
      <c r="A58" s="3">
        <v>17</v>
      </c>
      <c r="B58" s="3">
        <v>2019</v>
      </c>
      <c r="C58" s="3" t="s">
        <v>192</v>
      </c>
      <c r="D58" s="11" t="s">
        <v>14</v>
      </c>
      <c r="E58" s="24" t="s">
        <v>13</v>
      </c>
      <c r="F58" s="24" t="s">
        <v>12</v>
      </c>
      <c r="G58" s="24" t="s">
        <v>11</v>
      </c>
      <c r="H58" s="3" t="s">
        <v>10</v>
      </c>
      <c r="I58" s="1">
        <v>4131178258</v>
      </c>
      <c r="J58" s="1"/>
      <c r="K58" s="1"/>
      <c r="L58" s="1"/>
      <c r="M58" s="1"/>
      <c r="N58" s="1"/>
      <c r="O58" s="1"/>
      <c r="P58" s="1"/>
      <c r="Q58" s="1">
        <f t="shared" si="5"/>
        <v>4131178258</v>
      </c>
      <c r="R58" s="3"/>
    </row>
    <row r="59" spans="1:18" ht="60">
      <c r="A59" s="3">
        <v>18</v>
      </c>
      <c r="B59" s="3">
        <v>2019</v>
      </c>
      <c r="C59" s="3" t="s">
        <v>192</v>
      </c>
      <c r="D59" s="11">
        <v>2019000050025</v>
      </c>
      <c r="E59" s="24" t="s">
        <v>71</v>
      </c>
      <c r="F59" s="24" t="s">
        <v>70</v>
      </c>
      <c r="G59" s="24" t="s">
        <v>69</v>
      </c>
      <c r="H59" s="3" t="s">
        <v>10</v>
      </c>
      <c r="I59" s="1">
        <v>904521100</v>
      </c>
      <c r="J59" s="1"/>
      <c r="K59" s="1"/>
      <c r="L59" s="1"/>
      <c r="M59" s="1"/>
      <c r="N59" s="1"/>
      <c r="O59" s="1"/>
      <c r="P59" s="1"/>
      <c r="Q59" s="1">
        <f t="shared" si="5"/>
        <v>904521100</v>
      </c>
      <c r="R59" s="3"/>
    </row>
    <row r="60" spans="1:18" ht="60">
      <c r="A60" s="3">
        <v>19</v>
      </c>
      <c r="B60" s="3">
        <v>2019</v>
      </c>
      <c r="C60" s="3" t="s">
        <v>191</v>
      </c>
      <c r="D60" s="11">
        <v>2019000050039</v>
      </c>
      <c r="E60" s="24" t="s">
        <v>193</v>
      </c>
      <c r="F60" s="24" t="s">
        <v>59</v>
      </c>
      <c r="G60" s="24" t="s">
        <v>194</v>
      </c>
      <c r="H60" s="3" t="s">
        <v>10</v>
      </c>
      <c r="I60" s="1"/>
      <c r="J60" s="1">
        <v>1616407501</v>
      </c>
      <c r="K60" s="1"/>
      <c r="L60" s="1"/>
      <c r="M60" s="1"/>
      <c r="N60" s="1"/>
      <c r="O60" s="1"/>
      <c r="P60" s="1"/>
      <c r="Q60" s="1">
        <f t="shared" si="5"/>
        <v>1616407501</v>
      </c>
      <c r="R60" s="3"/>
    </row>
    <row r="61" spans="1:18" ht="75">
      <c r="A61" s="3">
        <v>20</v>
      </c>
      <c r="B61" s="3">
        <v>2019</v>
      </c>
      <c r="C61" s="3" t="s">
        <v>191</v>
      </c>
      <c r="D61" s="11">
        <v>2019000050060</v>
      </c>
      <c r="E61" s="24" t="s">
        <v>195</v>
      </c>
      <c r="F61" s="3" t="s">
        <v>12</v>
      </c>
      <c r="G61" s="24" t="s">
        <v>11</v>
      </c>
      <c r="H61" s="3" t="s">
        <v>10</v>
      </c>
      <c r="I61" s="1">
        <v>7089369627</v>
      </c>
      <c r="J61" s="1"/>
      <c r="K61" s="1"/>
      <c r="L61" s="1"/>
      <c r="M61" s="1"/>
      <c r="N61" s="1"/>
      <c r="O61" s="1"/>
      <c r="P61" s="1"/>
      <c r="Q61" s="1">
        <f t="shared" si="5"/>
        <v>7089369627</v>
      </c>
      <c r="R61" s="3"/>
    </row>
    <row r="62" spans="1:18" ht="45">
      <c r="A62" s="3">
        <v>21</v>
      </c>
      <c r="B62" s="3">
        <v>2019</v>
      </c>
      <c r="C62" s="3" t="s">
        <v>225</v>
      </c>
      <c r="D62" s="88">
        <v>2019000050037</v>
      </c>
      <c r="E62" s="87" t="s">
        <v>198</v>
      </c>
      <c r="F62" s="87" t="s">
        <v>204</v>
      </c>
      <c r="G62" s="87" t="s">
        <v>208</v>
      </c>
      <c r="H62" s="3" t="s">
        <v>10</v>
      </c>
      <c r="I62" s="1"/>
      <c r="J62" s="1">
        <v>4936307506</v>
      </c>
      <c r="K62" s="1"/>
      <c r="L62" s="1"/>
      <c r="M62" s="1"/>
      <c r="N62" s="1"/>
      <c r="O62" s="1"/>
      <c r="P62" s="1"/>
      <c r="Q62" s="1">
        <f t="shared" si="5"/>
        <v>4936307506</v>
      </c>
      <c r="R62" s="3"/>
    </row>
    <row r="63" spans="1:18" ht="45">
      <c r="A63" s="3">
        <v>22</v>
      </c>
      <c r="B63" s="3">
        <v>2019</v>
      </c>
      <c r="C63" s="3" t="s">
        <v>225</v>
      </c>
      <c r="D63" s="11">
        <v>2019000050059</v>
      </c>
      <c r="E63" s="87" t="s">
        <v>200</v>
      </c>
      <c r="F63" s="3" t="s">
        <v>206</v>
      </c>
      <c r="G63" s="87" t="s">
        <v>210</v>
      </c>
      <c r="H63" s="3" t="s">
        <v>10</v>
      </c>
      <c r="I63" s="1"/>
      <c r="J63" s="1">
        <v>1972606058</v>
      </c>
      <c r="K63" s="1"/>
      <c r="L63" s="1"/>
      <c r="M63" s="1"/>
      <c r="N63" s="1"/>
      <c r="O63" s="1"/>
      <c r="P63" s="1"/>
      <c r="Q63" s="1">
        <f t="shared" si="5"/>
        <v>1972606058</v>
      </c>
      <c r="R63" s="3"/>
    </row>
    <row r="64" spans="1:18" ht="45">
      <c r="A64" s="3">
        <v>23</v>
      </c>
      <c r="B64" s="3">
        <v>2019</v>
      </c>
      <c r="C64" s="3" t="s">
        <v>225</v>
      </c>
      <c r="D64" s="11">
        <v>2019000050056</v>
      </c>
      <c r="E64" s="87" t="s">
        <v>202</v>
      </c>
      <c r="F64" s="3" t="s">
        <v>12</v>
      </c>
      <c r="G64" s="87" t="s">
        <v>11</v>
      </c>
      <c r="H64" s="3" t="s">
        <v>10</v>
      </c>
      <c r="I64" s="1"/>
      <c r="J64" s="1"/>
      <c r="K64" s="1"/>
      <c r="L64" s="1"/>
      <c r="M64" s="1"/>
      <c r="N64" s="1">
        <v>4614214508</v>
      </c>
      <c r="O64" s="1"/>
      <c r="P64" s="1"/>
      <c r="Q64" s="1">
        <f t="shared" si="5"/>
        <v>4614214508</v>
      </c>
      <c r="R64" s="3"/>
    </row>
    <row r="65" spans="1:18" ht="45">
      <c r="A65" s="3">
        <v>24</v>
      </c>
      <c r="B65" s="3">
        <v>2019</v>
      </c>
      <c r="C65" s="3" t="s">
        <v>225</v>
      </c>
      <c r="D65" s="11">
        <v>2019000050079</v>
      </c>
      <c r="E65" s="87" t="s">
        <v>203</v>
      </c>
      <c r="F65" s="3" t="s">
        <v>12</v>
      </c>
      <c r="G65" s="87" t="s">
        <v>11</v>
      </c>
      <c r="H65" s="3" t="s">
        <v>10</v>
      </c>
      <c r="I65" s="1">
        <v>7614258187</v>
      </c>
      <c r="J65" s="1"/>
      <c r="K65" s="1"/>
      <c r="L65" s="1"/>
      <c r="M65" s="1"/>
      <c r="N65" s="1"/>
      <c r="O65" s="1"/>
      <c r="P65" s="1"/>
      <c r="Q65" s="1">
        <f t="shared" si="5"/>
        <v>7614258187</v>
      </c>
      <c r="R65" s="3"/>
    </row>
    <row r="66" spans="1:18" ht="60">
      <c r="A66" s="3">
        <v>25</v>
      </c>
      <c r="B66" s="3">
        <v>2019</v>
      </c>
      <c r="C66" s="3" t="s">
        <v>224</v>
      </c>
      <c r="D66" s="9">
        <v>2019000050069</v>
      </c>
      <c r="E66" s="90" t="s">
        <v>197</v>
      </c>
      <c r="F66" s="90" t="s">
        <v>73</v>
      </c>
      <c r="G66" s="90" t="s">
        <v>207</v>
      </c>
      <c r="H66" s="3" t="s">
        <v>226</v>
      </c>
      <c r="I66" s="53">
        <v>16011115466</v>
      </c>
      <c r="J66" s="53"/>
      <c r="K66" s="51"/>
      <c r="L66" s="51"/>
      <c r="M66" s="51"/>
      <c r="N66" s="53"/>
      <c r="O66" s="51"/>
      <c r="P66" s="44"/>
      <c r="Q66" s="49">
        <f>+SUM(I66:P66)</f>
        <v>16011115466</v>
      </c>
      <c r="R66" s="3"/>
    </row>
    <row r="67" spans="1:18" ht="60">
      <c r="A67" s="3">
        <v>26</v>
      </c>
      <c r="B67" s="3">
        <v>2019</v>
      </c>
      <c r="C67" s="3" t="s">
        <v>224</v>
      </c>
      <c r="D67" s="9">
        <v>2019000050064</v>
      </c>
      <c r="E67" s="90" t="s">
        <v>199</v>
      </c>
      <c r="F67" s="90" t="s">
        <v>205</v>
      </c>
      <c r="G67" s="90" t="s">
        <v>209</v>
      </c>
      <c r="H67" s="3" t="s">
        <v>227</v>
      </c>
      <c r="I67" s="53"/>
      <c r="J67" s="53">
        <v>5597840098</v>
      </c>
      <c r="K67" s="51"/>
      <c r="L67" s="51"/>
      <c r="M67" s="51"/>
      <c r="N67" s="52"/>
      <c r="O67" s="51"/>
      <c r="P67" s="46">
        <v>325445100</v>
      </c>
      <c r="Q67" s="49">
        <f>+SUM(I67:P67)</f>
        <v>5923285198</v>
      </c>
      <c r="R67" s="3"/>
    </row>
    <row r="68" spans="1:18" ht="18">
      <c r="A68" s="759" t="s">
        <v>169</v>
      </c>
      <c r="B68" s="759"/>
      <c r="C68" s="759"/>
      <c r="D68" s="759"/>
      <c r="E68" s="759"/>
      <c r="F68" s="759"/>
      <c r="G68" s="759"/>
      <c r="H68" s="20"/>
      <c r="I68" s="23">
        <f>+SUM(I42:I67)</f>
        <v>116746672860</v>
      </c>
      <c r="J68" s="23">
        <f t="shared" ref="J68:Q68" si="6">+SUM(J42:J67)</f>
        <v>52961204235</v>
      </c>
      <c r="K68" s="23">
        <f t="shared" si="6"/>
        <v>2105788182</v>
      </c>
      <c r="L68" s="23">
        <f t="shared" si="6"/>
        <v>0</v>
      </c>
      <c r="M68" s="23">
        <f t="shared" si="6"/>
        <v>7498967749</v>
      </c>
      <c r="N68" s="23">
        <f t="shared" si="6"/>
        <v>4614214508</v>
      </c>
      <c r="O68" s="23">
        <f t="shared" si="6"/>
        <v>0</v>
      </c>
      <c r="P68" s="23">
        <f t="shared" si="6"/>
        <v>3433439712</v>
      </c>
      <c r="Q68" s="23">
        <f t="shared" si="6"/>
        <v>187360287246</v>
      </c>
      <c r="R68" s="20"/>
    </row>
    <row r="69" spans="1:18" ht="18">
      <c r="A69" s="25"/>
      <c r="B69" s="25"/>
      <c r="C69" s="25"/>
      <c r="D69" s="25"/>
      <c r="E69" s="25"/>
      <c r="F69" s="25"/>
      <c r="G69" s="25"/>
      <c r="H69" s="25"/>
      <c r="I69" s="26"/>
      <c r="J69" s="26"/>
      <c r="K69" s="26"/>
      <c r="L69" s="26"/>
      <c r="M69" s="26"/>
      <c r="N69" s="26"/>
      <c r="O69" s="26"/>
      <c r="P69" s="26"/>
      <c r="Q69" s="26"/>
      <c r="R69" s="25"/>
    </row>
    <row r="71" spans="1:18" ht="54">
      <c r="G71" s="761" t="s">
        <v>173</v>
      </c>
      <c r="H71" s="762"/>
      <c r="I71" s="19" t="s">
        <v>151</v>
      </c>
      <c r="J71" s="19" t="s">
        <v>150</v>
      </c>
      <c r="K71" s="19" t="s">
        <v>175</v>
      </c>
      <c r="L71" s="19" t="s">
        <v>176</v>
      </c>
      <c r="M71" s="19" t="s">
        <v>148</v>
      </c>
      <c r="N71" s="19" t="s">
        <v>177</v>
      </c>
      <c r="O71" s="19" t="s">
        <v>149</v>
      </c>
      <c r="P71" s="19" t="s">
        <v>147</v>
      </c>
      <c r="Q71" s="19" t="s">
        <v>146</v>
      </c>
    </row>
    <row r="72" spans="1:18" ht="30" customHeight="1">
      <c r="G72" s="760" t="s">
        <v>166</v>
      </c>
      <c r="H72" s="760"/>
      <c r="I72" s="1">
        <f t="shared" ref="I72:Q72" si="7">+I6</f>
        <v>29803651814</v>
      </c>
      <c r="J72" s="1">
        <f t="shared" si="7"/>
        <v>0</v>
      </c>
      <c r="K72" s="1">
        <f t="shared" si="7"/>
        <v>0</v>
      </c>
      <c r="L72" s="1">
        <f t="shared" si="7"/>
        <v>0</v>
      </c>
      <c r="M72" s="1">
        <f t="shared" si="7"/>
        <v>0</v>
      </c>
      <c r="N72" s="1">
        <f t="shared" si="7"/>
        <v>0</v>
      </c>
      <c r="O72" s="1">
        <f t="shared" si="7"/>
        <v>0</v>
      </c>
      <c r="P72" s="1">
        <f t="shared" si="7"/>
        <v>29999987282</v>
      </c>
      <c r="Q72" s="1">
        <f t="shared" si="7"/>
        <v>59803639096</v>
      </c>
      <c r="R72" s="14"/>
    </row>
    <row r="73" spans="1:18" ht="30" customHeight="1">
      <c r="E73" s="8"/>
      <c r="F73" s="15"/>
      <c r="G73" s="760" t="s">
        <v>168</v>
      </c>
      <c r="H73" s="760"/>
      <c r="I73" s="1">
        <f>+I25</f>
        <v>65069464635</v>
      </c>
      <c r="J73" s="1">
        <f>+J25</f>
        <v>0</v>
      </c>
      <c r="K73" s="1">
        <f>+J25</f>
        <v>0</v>
      </c>
      <c r="L73" s="1">
        <f t="shared" ref="L73:Q73" si="8">+L25</f>
        <v>0</v>
      </c>
      <c r="M73" s="1">
        <f t="shared" si="8"/>
        <v>25799420811.120003</v>
      </c>
      <c r="N73" s="1">
        <f t="shared" si="8"/>
        <v>0</v>
      </c>
      <c r="O73" s="1">
        <f t="shared" si="8"/>
        <v>44901675</v>
      </c>
      <c r="P73" s="1">
        <f t="shared" si="8"/>
        <v>31283776259.5</v>
      </c>
      <c r="Q73" s="1">
        <f t="shared" si="8"/>
        <v>122197563380.62</v>
      </c>
    </row>
    <row r="74" spans="1:18" ht="30" customHeight="1">
      <c r="E74" s="8"/>
      <c r="F74" s="16"/>
      <c r="G74" s="760" t="s">
        <v>171</v>
      </c>
      <c r="H74" s="760"/>
      <c r="I74" s="1">
        <f t="shared" ref="I74:Q74" si="9">+I41</f>
        <v>48334907834</v>
      </c>
      <c r="J74" s="1">
        <f t="shared" si="9"/>
        <v>0</v>
      </c>
      <c r="K74" s="1">
        <f t="shared" si="9"/>
        <v>19376557725</v>
      </c>
      <c r="L74" s="1">
        <f t="shared" si="9"/>
        <v>16456948092</v>
      </c>
      <c r="M74" s="1">
        <f t="shared" si="9"/>
        <v>4000000000</v>
      </c>
      <c r="N74" s="1">
        <f t="shared" si="9"/>
        <v>0</v>
      </c>
      <c r="O74" s="1">
        <f t="shared" si="9"/>
        <v>0</v>
      </c>
      <c r="P74" s="1">
        <f t="shared" si="9"/>
        <v>6173538781</v>
      </c>
      <c r="Q74" s="1">
        <f t="shared" si="9"/>
        <v>82884904815</v>
      </c>
    </row>
    <row r="75" spans="1:18" ht="30" customHeight="1">
      <c r="E75" s="8"/>
      <c r="G75" s="760" t="s">
        <v>169</v>
      </c>
      <c r="H75" s="760"/>
      <c r="I75" s="1">
        <f>+I68</f>
        <v>116746672860</v>
      </c>
      <c r="J75" s="1">
        <f t="shared" ref="J75:Q75" si="10">+J68</f>
        <v>52961204235</v>
      </c>
      <c r="K75" s="1">
        <f t="shared" si="10"/>
        <v>2105788182</v>
      </c>
      <c r="L75" s="1">
        <f t="shared" si="10"/>
        <v>0</v>
      </c>
      <c r="M75" s="1">
        <f t="shared" si="10"/>
        <v>7498967749</v>
      </c>
      <c r="N75" s="1">
        <f t="shared" si="10"/>
        <v>4614214508</v>
      </c>
      <c r="O75" s="1">
        <f t="shared" si="10"/>
        <v>0</v>
      </c>
      <c r="P75" s="1">
        <f t="shared" si="10"/>
        <v>3433439712</v>
      </c>
      <c r="Q75" s="1">
        <f t="shared" si="10"/>
        <v>187360287246</v>
      </c>
    </row>
    <row r="76" spans="1:18" ht="15" customHeight="1">
      <c r="E76" s="8"/>
      <c r="G76" s="760" t="s">
        <v>172</v>
      </c>
      <c r="H76" s="760"/>
      <c r="I76" s="1">
        <f>+SUM(I72:I75)</f>
        <v>259954697143</v>
      </c>
      <c r="J76" s="1">
        <f>+SUM(J72:J75)</f>
        <v>52961204235</v>
      </c>
      <c r="K76" s="1">
        <f t="shared" ref="K76:Q76" si="11">+SUM(K72:K75)</f>
        <v>21482345907</v>
      </c>
      <c r="L76" s="1">
        <f t="shared" si="11"/>
        <v>16456948092</v>
      </c>
      <c r="M76" s="1">
        <f t="shared" si="11"/>
        <v>37298388560.120003</v>
      </c>
      <c r="N76" s="1">
        <f>+SUM(N72:N75)</f>
        <v>4614214508</v>
      </c>
      <c r="O76" s="1">
        <f t="shared" si="11"/>
        <v>44901675</v>
      </c>
      <c r="P76" s="1">
        <f t="shared" si="11"/>
        <v>70890742034.5</v>
      </c>
      <c r="Q76" s="1">
        <f t="shared" si="11"/>
        <v>452246394537.62</v>
      </c>
    </row>
    <row r="88" spans="6:6">
      <c r="F88" s="8">
        <f>+A67+A40+A24+A5</f>
        <v>63</v>
      </c>
    </row>
  </sheetData>
  <autoFilter ref="A1:R68" xr:uid="{00000000-0009-0000-0000-000000000000}"/>
  <mergeCells count="10">
    <mergeCell ref="G73:H73"/>
    <mergeCell ref="G74:H74"/>
    <mergeCell ref="G75:H75"/>
    <mergeCell ref="G76:H76"/>
    <mergeCell ref="G71:H71"/>
    <mergeCell ref="A6:G6"/>
    <mergeCell ref="A25:G25"/>
    <mergeCell ref="A41:G41"/>
    <mergeCell ref="A68:G68"/>
    <mergeCell ref="G72:H72"/>
  </mergeCells>
  <pageMargins left="0.25" right="0.25" top="0.41" bottom="0.39" header="0.3" footer="0.3"/>
  <pageSetup scale="2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94"/>
  <sheetViews>
    <sheetView zoomScale="90" zoomScaleNormal="90" workbookViewId="0">
      <pane xSplit="1" ySplit="1" topLeftCell="B32" activePane="bottomRight" state="frozen"/>
      <selection activeCell="A21" sqref="A21"/>
      <selection pane="topRight" activeCell="A21" sqref="A21"/>
      <selection pane="bottomLeft" activeCell="A21" sqref="A21"/>
      <selection pane="bottomRight" activeCell="F32" sqref="F32"/>
    </sheetView>
  </sheetViews>
  <sheetFormatPr baseColWidth="10" defaultColWidth="11.42578125" defaultRowHeight="15"/>
  <cols>
    <col min="1" max="1" width="9.140625" style="8" bestFit="1" customWidth="1"/>
    <col min="2" max="3" width="18.5703125" style="8" customWidth="1"/>
    <col min="4" max="4" width="22.140625" style="8" customWidth="1"/>
    <col min="5" max="5" width="21.7109375" style="8" customWidth="1"/>
    <col min="6" max="6" width="50.140625" style="12" customWidth="1"/>
    <col min="7" max="7" width="26.140625" style="8" bestFit="1" customWidth="1"/>
    <col min="8" max="8" width="20.42578125" style="8" customWidth="1"/>
    <col min="9" max="9" width="25.85546875" style="8" customWidth="1"/>
    <col min="10" max="10" width="26.28515625" style="13" bestFit="1" customWidth="1"/>
    <col min="11" max="13" width="24.5703125" style="13" customWidth="1"/>
    <col min="14" max="14" width="24.7109375" style="13" bestFit="1" customWidth="1"/>
    <col min="15" max="15" width="24.5703125" style="13" customWidth="1"/>
    <col min="16" max="16" width="23.42578125" style="13" customWidth="1"/>
    <col min="17" max="18" width="32.28515625" style="13" bestFit="1" customWidth="1"/>
    <col min="19" max="19" width="19.28515625" style="8" hidden="1" customWidth="1"/>
    <col min="20" max="16384" width="11.42578125" style="8"/>
  </cols>
  <sheetData>
    <row r="1" spans="1:19" ht="32.25" thickBot="1">
      <c r="A1" s="137" t="s">
        <v>232</v>
      </c>
      <c r="B1" s="137" t="s">
        <v>152</v>
      </c>
      <c r="C1" s="137" t="s">
        <v>431</v>
      </c>
      <c r="D1" s="137" t="s">
        <v>233</v>
      </c>
      <c r="E1" s="137" t="s">
        <v>156</v>
      </c>
      <c r="F1" s="137" t="s">
        <v>234</v>
      </c>
      <c r="G1" s="138" t="s">
        <v>235</v>
      </c>
      <c r="H1" s="139" t="s">
        <v>236</v>
      </c>
      <c r="I1" s="138" t="s">
        <v>150</v>
      </c>
      <c r="J1" s="138" t="s">
        <v>237</v>
      </c>
      <c r="K1" s="138" t="s">
        <v>238</v>
      </c>
      <c r="L1" s="138" t="s">
        <v>189</v>
      </c>
      <c r="M1" s="138" t="s">
        <v>239</v>
      </c>
      <c r="N1" s="138" t="s">
        <v>240</v>
      </c>
      <c r="O1" s="26"/>
      <c r="P1" s="26"/>
      <c r="Q1" s="26"/>
      <c r="R1" s="26"/>
      <c r="S1" s="25"/>
    </row>
    <row r="2" spans="1:19" ht="51">
      <c r="A2" s="129">
        <v>1</v>
      </c>
      <c r="B2" s="130">
        <v>2019</v>
      </c>
      <c r="C2" s="130" t="s">
        <v>11</v>
      </c>
      <c r="D2" s="131">
        <v>43571</v>
      </c>
      <c r="E2" s="132">
        <v>2018000050039</v>
      </c>
      <c r="F2" s="133" t="s">
        <v>241</v>
      </c>
      <c r="G2" s="134">
        <v>3116799013</v>
      </c>
      <c r="H2" s="134"/>
      <c r="I2" s="135"/>
      <c r="J2" s="135"/>
      <c r="K2" s="135"/>
      <c r="L2" s="135"/>
      <c r="M2" s="135">
        <v>907994612</v>
      </c>
      <c r="N2" s="136">
        <f t="shared" ref="N2:N30" si="0">SUM(G2:M2)</f>
        <v>4024793625</v>
      </c>
    </row>
    <row r="3" spans="1:19" ht="61.5" customHeight="1">
      <c r="A3" s="124">
        <v>2</v>
      </c>
      <c r="B3" s="106">
        <v>2019</v>
      </c>
      <c r="C3" s="273" t="s">
        <v>11</v>
      </c>
      <c r="D3" s="107">
        <v>43532</v>
      </c>
      <c r="E3" s="108">
        <v>2018000050055</v>
      </c>
      <c r="F3" s="116" t="s">
        <v>248</v>
      </c>
      <c r="G3" s="120">
        <v>17928531277</v>
      </c>
      <c r="H3" s="120"/>
      <c r="I3" s="121"/>
      <c r="J3" s="121"/>
      <c r="K3" s="121"/>
      <c r="L3" s="121"/>
      <c r="M3" s="121"/>
      <c r="N3" s="119">
        <f t="shared" si="0"/>
        <v>17928531277</v>
      </c>
      <c r="O3" s="8"/>
      <c r="P3" s="8"/>
      <c r="Q3" s="8"/>
    </row>
    <row r="4" spans="1:19" ht="29.25" customHeight="1">
      <c r="A4" s="129">
        <v>3</v>
      </c>
      <c r="B4" s="106">
        <v>2019</v>
      </c>
      <c r="C4" s="273" t="s">
        <v>11</v>
      </c>
      <c r="D4" s="107">
        <v>43532</v>
      </c>
      <c r="E4" s="108">
        <v>2018000050059</v>
      </c>
      <c r="F4" s="116" t="s">
        <v>249</v>
      </c>
      <c r="G4" s="120">
        <v>4870657724</v>
      </c>
      <c r="H4" s="120"/>
      <c r="I4" s="121"/>
      <c r="J4" s="121"/>
      <c r="K4" s="121"/>
      <c r="L4" s="121"/>
      <c r="M4" s="121"/>
      <c r="N4" s="119">
        <f t="shared" si="0"/>
        <v>4870657724</v>
      </c>
      <c r="O4" s="8"/>
      <c r="P4" s="8"/>
      <c r="Q4" s="8"/>
    </row>
    <row r="5" spans="1:19" ht="56.25" customHeight="1">
      <c r="A5" s="124">
        <v>4</v>
      </c>
      <c r="B5" s="106">
        <v>2019</v>
      </c>
      <c r="C5" s="273" t="s">
        <v>11</v>
      </c>
      <c r="D5" s="107">
        <v>43532</v>
      </c>
      <c r="E5" s="108">
        <v>2019000050002</v>
      </c>
      <c r="F5" s="116" t="s">
        <v>250</v>
      </c>
      <c r="G5" s="120">
        <v>5745879373</v>
      </c>
      <c r="H5" s="120"/>
      <c r="I5" s="121"/>
      <c r="J5" s="121"/>
      <c r="K5" s="121"/>
      <c r="L5" s="121"/>
      <c r="M5" s="121"/>
      <c r="N5" s="119">
        <f t="shared" si="0"/>
        <v>5745879373</v>
      </c>
      <c r="O5" s="8"/>
      <c r="P5" s="8"/>
      <c r="Q5" s="8"/>
    </row>
    <row r="6" spans="1:19" ht="33.75" customHeight="1">
      <c r="A6" s="129">
        <v>5</v>
      </c>
      <c r="B6" s="106">
        <v>2019</v>
      </c>
      <c r="C6" s="273" t="s">
        <v>11</v>
      </c>
      <c r="D6" s="107">
        <v>43585</v>
      </c>
      <c r="E6" s="108">
        <v>2019000050003</v>
      </c>
      <c r="F6" s="116" t="s">
        <v>251</v>
      </c>
      <c r="G6" s="120">
        <v>4049029755</v>
      </c>
      <c r="H6" s="120"/>
      <c r="I6" s="121"/>
      <c r="J6" s="121"/>
      <c r="K6" s="121"/>
      <c r="L6" s="121"/>
      <c r="M6" s="121"/>
      <c r="N6" s="119">
        <f t="shared" si="0"/>
        <v>4049029755</v>
      </c>
      <c r="O6" s="8"/>
      <c r="P6" s="8"/>
      <c r="Q6" s="8"/>
    </row>
    <row r="7" spans="1:19" ht="29.25" customHeight="1">
      <c r="A7" s="124">
        <v>6</v>
      </c>
      <c r="B7" s="106">
        <v>2019</v>
      </c>
      <c r="C7" s="273" t="s">
        <v>11</v>
      </c>
      <c r="D7" s="107">
        <v>43585</v>
      </c>
      <c r="E7" s="108">
        <v>2019000050011</v>
      </c>
      <c r="F7" s="116" t="s">
        <v>252</v>
      </c>
      <c r="G7" s="120">
        <v>7339441010</v>
      </c>
      <c r="H7" s="120"/>
      <c r="I7" s="121"/>
      <c r="J7" s="121"/>
      <c r="K7" s="121"/>
      <c r="L7" s="121"/>
      <c r="M7" s="121"/>
      <c r="N7" s="119">
        <f t="shared" si="0"/>
        <v>7339441010</v>
      </c>
      <c r="O7" s="8"/>
      <c r="P7" s="8"/>
      <c r="Q7" s="8"/>
    </row>
    <row r="8" spans="1:19" ht="53.25" customHeight="1">
      <c r="A8" s="129">
        <v>7</v>
      </c>
      <c r="B8" s="106">
        <v>2019</v>
      </c>
      <c r="C8" s="274" t="s">
        <v>353</v>
      </c>
      <c r="D8" s="107" t="s">
        <v>242</v>
      </c>
      <c r="E8" s="108">
        <v>2018000050036</v>
      </c>
      <c r="F8" s="117" t="s">
        <v>243</v>
      </c>
      <c r="G8" s="120">
        <v>2105788182</v>
      </c>
      <c r="I8" s="120"/>
      <c r="J8" s="120"/>
      <c r="K8" s="120"/>
      <c r="L8" s="120"/>
      <c r="M8" s="120">
        <v>200000000</v>
      </c>
      <c r="N8" s="119">
        <f>SUM(G8:M8)</f>
        <v>2305788182</v>
      </c>
      <c r="O8" s="8"/>
      <c r="P8" s="8"/>
      <c r="Q8" s="8"/>
    </row>
    <row r="9" spans="1:19" ht="28.5" customHeight="1">
      <c r="A9" s="124">
        <v>8</v>
      </c>
      <c r="B9" s="106">
        <v>2019</v>
      </c>
      <c r="C9" s="273" t="s">
        <v>11</v>
      </c>
      <c r="D9" s="107" t="s">
        <v>242</v>
      </c>
      <c r="E9" s="108">
        <v>2019000050005</v>
      </c>
      <c r="F9" s="117" t="s">
        <v>19</v>
      </c>
      <c r="G9" s="120">
        <v>14057373703</v>
      </c>
      <c r="H9" s="120"/>
      <c r="I9" s="120"/>
      <c r="J9" s="120"/>
      <c r="K9" s="120"/>
      <c r="L9" s="120"/>
      <c r="M9" s="120"/>
      <c r="N9" s="119">
        <f>SUM(G9:M9)</f>
        <v>14057373703</v>
      </c>
    </row>
    <row r="10" spans="1:19" ht="38.25">
      <c r="A10" s="129">
        <v>9</v>
      </c>
      <c r="B10" s="106">
        <v>2019</v>
      </c>
      <c r="C10" s="273" t="s">
        <v>11</v>
      </c>
      <c r="D10" s="107" t="s">
        <v>242</v>
      </c>
      <c r="E10" s="108">
        <v>2019000050016</v>
      </c>
      <c r="F10" s="117" t="s">
        <v>18</v>
      </c>
      <c r="G10" s="120">
        <v>5718724028</v>
      </c>
      <c r="H10" s="120"/>
      <c r="I10" s="120"/>
      <c r="J10" s="120"/>
      <c r="K10" s="120"/>
      <c r="L10" s="120"/>
      <c r="M10" s="120"/>
      <c r="N10" s="119">
        <f t="shared" si="0"/>
        <v>5718724028</v>
      </c>
    </row>
    <row r="11" spans="1:19" ht="51">
      <c r="A11" s="124">
        <v>10</v>
      </c>
      <c r="B11" s="106">
        <v>2019</v>
      </c>
      <c r="C11" s="274" t="s">
        <v>345</v>
      </c>
      <c r="D11" s="107" t="s">
        <v>242</v>
      </c>
      <c r="E11" s="108">
        <v>2019000050020</v>
      </c>
      <c r="F11" s="117" t="s">
        <v>75</v>
      </c>
      <c r="G11" s="120"/>
      <c r="H11" s="120"/>
      <c r="I11" s="120">
        <v>20536293937</v>
      </c>
      <c r="J11" s="120"/>
      <c r="K11" s="120"/>
      <c r="L11" s="120"/>
      <c r="M11" s="120"/>
      <c r="N11" s="119">
        <f t="shared" si="0"/>
        <v>20536293937</v>
      </c>
    </row>
    <row r="12" spans="1:19" ht="25.5">
      <c r="A12" s="129">
        <v>11</v>
      </c>
      <c r="B12" s="106">
        <v>2019</v>
      </c>
      <c r="C12" s="273" t="s">
        <v>11</v>
      </c>
      <c r="D12" s="107" t="s">
        <v>242</v>
      </c>
      <c r="E12" s="108">
        <v>2019000050023</v>
      </c>
      <c r="F12" s="117" t="s">
        <v>17</v>
      </c>
      <c r="G12" s="120">
        <v>7310087087</v>
      </c>
      <c r="H12" s="120"/>
      <c r="I12" s="120"/>
      <c r="J12" s="120"/>
      <c r="K12" s="120"/>
      <c r="L12" s="120"/>
      <c r="M12" s="120"/>
      <c r="N12" s="119">
        <f t="shared" si="0"/>
        <v>7310087087</v>
      </c>
    </row>
    <row r="13" spans="1:19" ht="25.5">
      <c r="A13" s="124">
        <v>12</v>
      </c>
      <c r="B13" s="106">
        <v>2019</v>
      </c>
      <c r="C13" s="273" t="s">
        <v>11</v>
      </c>
      <c r="D13" s="107" t="s">
        <v>242</v>
      </c>
      <c r="E13" s="108">
        <v>2019000050029</v>
      </c>
      <c r="F13" s="117" t="s">
        <v>15</v>
      </c>
      <c r="G13" s="120">
        <v>5322582208</v>
      </c>
      <c r="H13" s="120"/>
      <c r="I13" s="120"/>
      <c r="J13" s="120"/>
      <c r="K13" s="120"/>
      <c r="L13" s="120"/>
      <c r="M13" s="120"/>
      <c r="N13" s="119">
        <f t="shared" si="0"/>
        <v>5322582208</v>
      </c>
    </row>
    <row r="14" spans="1:19" ht="25.5">
      <c r="A14" s="129">
        <v>13</v>
      </c>
      <c r="B14" s="106">
        <v>2019</v>
      </c>
      <c r="C14" s="273" t="s">
        <v>11</v>
      </c>
      <c r="D14" s="107">
        <v>43656</v>
      </c>
      <c r="E14" s="108">
        <v>2019000050013</v>
      </c>
      <c r="F14" s="117" t="s">
        <v>134</v>
      </c>
      <c r="G14" s="120">
        <v>3152125044</v>
      </c>
      <c r="H14" s="120"/>
      <c r="I14" s="120"/>
      <c r="J14" s="120"/>
      <c r="K14" s="120"/>
      <c r="L14" s="120"/>
      <c r="M14" s="120"/>
      <c r="N14" s="119">
        <f t="shared" si="0"/>
        <v>3152125044</v>
      </c>
    </row>
    <row r="15" spans="1:19" ht="38.25">
      <c r="A15" s="124">
        <v>14</v>
      </c>
      <c r="B15" s="106">
        <v>2019</v>
      </c>
      <c r="C15" s="274" t="s">
        <v>354</v>
      </c>
      <c r="D15" s="107">
        <v>43656</v>
      </c>
      <c r="E15" s="108">
        <v>2019000050036</v>
      </c>
      <c r="F15" s="117" t="s">
        <v>53</v>
      </c>
      <c r="G15" s="120">
        <v>2385000000</v>
      </c>
      <c r="H15" s="120"/>
      <c r="I15" s="120"/>
      <c r="J15" s="120"/>
      <c r="K15" s="120"/>
      <c r="L15" s="120"/>
      <c r="M15" s="120"/>
      <c r="N15" s="119">
        <f t="shared" si="0"/>
        <v>2385000000</v>
      </c>
    </row>
    <row r="16" spans="1:19" ht="51">
      <c r="A16" s="129">
        <v>15</v>
      </c>
      <c r="B16" s="106">
        <v>2019</v>
      </c>
      <c r="C16" s="274" t="s">
        <v>345</v>
      </c>
      <c r="D16" s="107">
        <v>43656</v>
      </c>
      <c r="E16" s="108">
        <v>2019000050044</v>
      </c>
      <c r="F16" s="117" t="s">
        <v>74</v>
      </c>
      <c r="G16" s="120"/>
      <c r="H16" s="120"/>
      <c r="I16" s="120">
        <v>18301749135</v>
      </c>
      <c r="J16" s="120"/>
      <c r="K16" s="120"/>
      <c r="L16" s="120"/>
      <c r="M16" s="120"/>
      <c r="N16" s="119">
        <f t="shared" si="0"/>
        <v>18301749135</v>
      </c>
    </row>
    <row r="17" spans="1:28" ht="25.5">
      <c r="A17" s="124">
        <v>16</v>
      </c>
      <c r="B17" s="106">
        <v>2019</v>
      </c>
      <c r="C17" s="273" t="s">
        <v>11</v>
      </c>
      <c r="D17" s="107" t="s">
        <v>244</v>
      </c>
      <c r="E17" s="108">
        <v>2019000050047</v>
      </c>
      <c r="F17" s="117" t="s">
        <v>13</v>
      </c>
      <c r="G17" s="120">
        <v>4131178258</v>
      </c>
      <c r="H17" s="120"/>
      <c r="I17" s="120"/>
      <c r="J17" s="120"/>
      <c r="K17" s="120"/>
      <c r="L17" s="120"/>
      <c r="M17" s="120"/>
      <c r="N17" s="119">
        <f t="shared" si="0"/>
        <v>4131178258</v>
      </c>
      <c r="W17" s="10"/>
      <c r="X17" s="10"/>
      <c r="Y17" s="10"/>
      <c r="Z17" s="10"/>
      <c r="AA17" s="10"/>
      <c r="AB17" s="10"/>
    </row>
    <row r="18" spans="1:28" ht="38.25">
      <c r="A18" s="129">
        <v>17</v>
      </c>
      <c r="B18" s="106">
        <v>2019</v>
      </c>
      <c r="C18" s="273" t="s">
        <v>355</v>
      </c>
      <c r="D18" s="107">
        <v>43677</v>
      </c>
      <c r="E18" s="108">
        <v>2019000050025</v>
      </c>
      <c r="F18" s="117" t="s">
        <v>71</v>
      </c>
      <c r="G18" s="120"/>
      <c r="H18" s="120"/>
      <c r="I18" s="120">
        <v>904521100</v>
      </c>
      <c r="J18" s="120"/>
      <c r="K18" s="120"/>
      <c r="L18" s="120"/>
      <c r="M18" s="120"/>
      <c r="N18" s="119">
        <f t="shared" si="0"/>
        <v>904521100</v>
      </c>
    </row>
    <row r="19" spans="1:28" ht="38.25">
      <c r="A19" s="124">
        <v>18</v>
      </c>
      <c r="B19" s="106">
        <v>2019</v>
      </c>
      <c r="C19" s="274" t="s">
        <v>356</v>
      </c>
      <c r="D19" s="107">
        <v>43714</v>
      </c>
      <c r="E19" s="108">
        <v>2019000050039</v>
      </c>
      <c r="F19" s="117" t="s">
        <v>193</v>
      </c>
      <c r="G19" s="120"/>
      <c r="H19" s="120"/>
      <c r="I19" s="120">
        <v>1616407501</v>
      </c>
      <c r="J19" s="120"/>
      <c r="K19" s="120"/>
      <c r="L19" s="120"/>
      <c r="M19" s="120"/>
      <c r="N19" s="119">
        <f t="shared" ref="N19:N26" si="1">SUM(G19:M19)</f>
        <v>1616407501</v>
      </c>
    </row>
    <row r="20" spans="1:28" ht="63.75">
      <c r="A20" s="129">
        <v>19</v>
      </c>
      <c r="B20" s="106">
        <v>2019</v>
      </c>
      <c r="C20" s="273" t="s">
        <v>11</v>
      </c>
      <c r="D20" s="107">
        <v>43714</v>
      </c>
      <c r="E20" s="108">
        <v>2019000050060</v>
      </c>
      <c r="F20" s="117" t="s">
        <v>195</v>
      </c>
      <c r="G20" s="120">
        <v>7089369627</v>
      </c>
      <c r="H20" s="120"/>
      <c r="I20" s="120"/>
      <c r="J20" s="120"/>
      <c r="K20" s="120"/>
      <c r="L20" s="120"/>
      <c r="M20" s="120"/>
      <c r="N20" s="119">
        <f t="shared" si="1"/>
        <v>7089369627</v>
      </c>
    </row>
    <row r="21" spans="1:28" ht="57">
      <c r="A21" s="124">
        <v>20</v>
      </c>
      <c r="B21" s="106">
        <v>2019</v>
      </c>
      <c r="C21" s="274" t="s">
        <v>353</v>
      </c>
      <c r="D21" s="107">
        <v>43748</v>
      </c>
      <c r="E21" s="108">
        <v>2019000050037</v>
      </c>
      <c r="F21" s="118" t="s">
        <v>253</v>
      </c>
      <c r="G21" s="120"/>
      <c r="H21" s="120"/>
      <c r="I21" s="120">
        <v>4936307506</v>
      </c>
      <c r="J21" s="120"/>
      <c r="K21" s="120"/>
      <c r="L21" s="120"/>
      <c r="M21" s="120"/>
      <c r="N21" s="119">
        <f t="shared" si="1"/>
        <v>4936307506</v>
      </c>
    </row>
    <row r="22" spans="1:28" ht="38.25">
      <c r="A22" s="129">
        <v>21</v>
      </c>
      <c r="B22" s="106">
        <v>2019</v>
      </c>
      <c r="C22" s="273" t="s">
        <v>11</v>
      </c>
      <c r="D22" s="107">
        <v>43748</v>
      </c>
      <c r="E22" s="108">
        <v>2019000050079</v>
      </c>
      <c r="F22" s="116" t="s">
        <v>254</v>
      </c>
      <c r="G22" s="120">
        <v>7614258187</v>
      </c>
      <c r="H22" s="120"/>
      <c r="I22" s="120"/>
      <c r="J22" s="120"/>
      <c r="K22" s="120"/>
      <c r="L22" s="120"/>
      <c r="M22" s="120"/>
      <c r="N22" s="119">
        <f t="shared" si="1"/>
        <v>7614258187</v>
      </c>
    </row>
    <row r="23" spans="1:28" s="10" customFormat="1" ht="63.75">
      <c r="A23" s="124">
        <v>22</v>
      </c>
      <c r="B23" s="106">
        <v>2019</v>
      </c>
      <c r="C23" s="273" t="s">
        <v>207</v>
      </c>
      <c r="D23" s="107">
        <v>43774</v>
      </c>
      <c r="E23" s="108">
        <v>2019000050069</v>
      </c>
      <c r="F23" s="116" t="s">
        <v>255</v>
      </c>
      <c r="G23" s="120">
        <v>16011115466</v>
      </c>
      <c r="H23" s="120"/>
      <c r="I23" s="120"/>
      <c r="J23" s="120"/>
      <c r="K23" s="120"/>
      <c r="L23" s="120"/>
      <c r="M23" s="120"/>
      <c r="N23" s="119">
        <f t="shared" si="1"/>
        <v>16011115466</v>
      </c>
      <c r="O23" s="13"/>
      <c r="P23" s="13"/>
      <c r="Q23" s="13"/>
      <c r="R23" s="13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51">
      <c r="A24" s="129">
        <v>23</v>
      </c>
      <c r="B24" s="106">
        <v>2019</v>
      </c>
      <c r="C24" s="273" t="s">
        <v>210</v>
      </c>
      <c r="D24" s="107">
        <v>43748</v>
      </c>
      <c r="E24" s="108">
        <v>2019000050059</v>
      </c>
      <c r="F24" s="116" t="s">
        <v>256</v>
      </c>
      <c r="G24" s="120"/>
      <c r="H24" s="120"/>
      <c r="I24" s="120">
        <v>1972606058</v>
      </c>
      <c r="J24" s="120"/>
      <c r="K24" s="120"/>
      <c r="L24" s="120"/>
      <c r="M24" s="120"/>
      <c r="N24" s="119">
        <f t="shared" si="1"/>
        <v>1972606058</v>
      </c>
    </row>
    <row r="25" spans="1:28" ht="51">
      <c r="A25" s="124">
        <v>24</v>
      </c>
      <c r="B25" s="106">
        <v>2019</v>
      </c>
      <c r="C25" s="273" t="s">
        <v>209</v>
      </c>
      <c r="D25" s="107">
        <v>43774</v>
      </c>
      <c r="E25" s="108">
        <v>2019000050064</v>
      </c>
      <c r="F25" s="116" t="s">
        <v>257</v>
      </c>
      <c r="G25" s="120"/>
      <c r="H25" s="120"/>
      <c r="I25" s="120">
        <v>5597840098</v>
      </c>
      <c r="J25" s="120"/>
      <c r="K25" s="120"/>
      <c r="L25" s="120"/>
      <c r="M25" s="120">
        <v>325445100</v>
      </c>
      <c r="N25" s="119">
        <f t="shared" si="1"/>
        <v>5923285198</v>
      </c>
    </row>
    <row r="26" spans="1:28" ht="38.25">
      <c r="A26" s="129">
        <v>25</v>
      </c>
      <c r="B26" s="106">
        <v>2019</v>
      </c>
      <c r="C26" s="273" t="s">
        <v>11</v>
      </c>
      <c r="D26" s="107">
        <v>43748</v>
      </c>
      <c r="E26" s="108">
        <v>2019000050056</v>
      </c>
      <c r="F26" s="116" t="s">
        <v>258</v>
      </c>
      <c r="G26" s="120"/>
      <c r="H26" s="120"/>
      <c r="I26" s="120"/>
      <c r="J26" s="122"/>
      <c r="K26" s="120"/>
      <c r="L26" s="120">
        <v>4614214508</v>
      </c>
      <c r="M26" s="120"/>
      <c r="N26" s="119">
        <f t="shared" si="1"/>
        <v>4614214508</v>
      </c>
    </row>
    <row r="27" spans="1:28" ht="60">
      <c r="A27" s="124">
        <v>26</v>
      </c>
      <c r="B27" s="106">
        <v>2019</v>
      </c>
      <c r="C27" s="274" t="s">
        <v>357</v>
      </c>
      <c r="D27" s="107">
        <v>43565</v>
      </c>
      <c r="E27" s="406">
        <v>2017000100104</v>
      </c>
      <c r="F27" s="109" t="s">
        <v>247</v>
      </c>
      <c r="G27" s="120"/>
      <c r="H27" s="120"/>
      <c r="I27" s="120"/>
      <c r="J27" s="120">
        <v>7498967749</v>
      </c>
      <c r="K27" s="120"/>
      <c r="L27" s="120"/>
      <c r="M27" s="120">
        <v>2000000000</v>
      </c>
      <c r="N27" s="119">
        <f t="shared" si="0"/>
        <v>9498967749</v>
      </c>
    </row>
    <row r="28" spans="1:28" ht="45">
      <c r="A28" s="129">
        <v>27</v>
      </c>
      <c r="B28" s="106">
        <v>2019</v>
      </c>
      <c r="C28" s="274" t="s">
        <v>357</v>
      </c>
      <c r="D28" s="107">
        <v>43698</v>
      </c>
      <c r="E28" s="406">
        <v>2017000100087</v>
      </c>
      <c r="F28" s="109" t="s">
        <v>245</v>
      </c>
      <c r="G28" s="120"/>
      <c r="H28" s="120"/>
      <c r="I28" s="120"/>
      <c r="J28" s="120">
        <v>5048022960</v>
      </c>
      <c r="K28" s="120"/>
      <c r="L28" s="120"/>
      <c r="M28" s="120">
        <v>100000000</v>
      </c>
      <c r="N28" s="119">
        <f>SUM(G28:M28)</f>
        <v>5148022960</v>
      </c>
    </row>
    <row r="29" spans="1:28" ht="60">
      <c r="A29" s="124">
        <v>28</v>
      </c>
      <c r="B29" s="106">
        <v>2019</v>
      </c>
      <c r="C29" s="308" t="s">
        <v>357</v>
      </c>
      <c r="D29" s="407">
        <v>43098</v>
      </c>
      <c r="E29" s="408">
        <v>2017000100074</v>
      </c>
      <c r="F29" s="109" t="s">
        <v>260</v>
      </c>
      <c r="G29" s="120"/>
      <c r="H29" s="120"/>
      <c r="I29" s="120"/>
      <c r="J29" s="142">
        <v>2902694297</v>
      </c>
      <c r="K29" s="120"/>
      <c r="L29" s="120"/>
      <c r="M29" s="120"/>
      <c r="N29" s="119">
        <f t="shared" si="0"/>
        <v>2902694297</v>
      </c>
    </row>
    <row r="30" spans="1:28" ht="60">
      <c r="A30" s="129">
        <v>29</v>
      </c>
      <c r="B30" s="106">
        <v>2019</v>
      </c>
      <c r="C30" s="308" t="s">
        <v>357</v>
      </c>
      <c r="D30" s="407">
        <v>43322</v>
      </c>
      <c r="E30" s="408">
        <v>2017000100076</v>
      </c>
      <c r="F30" s="109" t="s">
        <v>261</v>
      </c>
      <c r="G30" s="120"/>
      <c r="H30" s="120"/>
      <c r="I30" s="120"/>
      <c r="J30" s="142">
        <v>1707912172</v>
      </c>
      <c r="K30" s="120"/>
      <c r="L30" s="120"/>
      <c r="M30" s="120"/>
      <c r="N30" s="119">
        <f t="shared" si="0"/>
        <v>1707912172</v>
      </c>
    </row>
    <row r="31" spans="1:28" ht="75">
      <c r="A31" s="124">
        <v>30</v>
      </c>
      <c r="B31" s="106">
        <v>2019</v>
      </c>
      <c r="C31" s="308" t="s">
        <v>357</v>
      </c>
      <c r="D31" s="309">
        <v>43731</v>
      </c>
      <c r="E31" s="409">
        <v>2018000100160</v>
      </c>
      <c r="F31" s="109" t="s">
        <v>246</v>
      </c>
      <c r="G31" s="120"/>
      <c r="H31" s="120"/>
      <c r="I31" s="120"/>
      <c r="J31" s="120">
        <v>3519725709</v>
      </c>
      <c r="K31" s="120"/>
      <c r="L31" s="120"/>
      <c r="M31" s="120">
        <v>1697690038</v>
      </c>
      <c r="N31" s="119">
        <f t="shared" ref="N31:N45" si="2">SUM(G31:M31)</f>
        <v>5217415747</v>
      </c>
    </row>
    <row r="32" spans="1:28" ht="45">
      <c r="A32" s="129">
        <v>31</v>
      </c>
      <c r="B32" s="143" t="s">
        <v>10</v>
      </c>
      <c r="C32" s="308" t="s">
        <v>357</v>
      </c>
      <c r="D32" s="309">
        <v>43781</v>
      </c>
      <c r="E32" s="410" t="s">
        <v>321</v>
      </c>
      <c r="F32" s="188" t="s">
        <v>323</v>
      </c>
      <c r="G32" s="120"/>
      <c r="H32" s="145"/>
      <c r="I32" s="145"/>
      <c r="J32" s="189">
        <v>232747102</v>
      </c>
      <c r="K32" s="120"/>
      <c r="L32" s="120"/>
      <c r="M32" s="142">
        <v>4127281113</v>
      </c>
      <c r="N32" s="119">
        <f t="shared" si="2"/>
        <v>4360028215</v>
      </c>
    </row>
    <row r="33" spans="1:15" ht="45">
      <c r="A33" s="129">
        <v>32</v>
      </c>
      <c r="B33" s="143" t="s">
        <v>10</v>
      </c>
      <c r="C33" s="308" t="s">
        <v>357</v>
      </c>
      <c r="D33" s="309">
        <v>43781</v>
      </c>
      <c r="E33" s="410" t="s">
        <v>322</v>
      </c>
      <c r="F33" s="188" t="s">
        <v>324</v>
      </c>
      <c r="G33" s="120"/>
      <c r="H33" s="145"/>
      <c r="I33" s="145"/>
      <c r="J33" s="189">
        <v>250000000</v>
      </c>
      <c r="K33" s="120"/>
      <c r="L33" s="120"/>
      <c r="M33" s="142">
        <v>6274500000</v>
      </c>
      <c r="N33" s="119">
        <f t="shared" si="2"/>
        <v>6524500000</v>
      </c>
    </row>
    <row r="34" spans="1:15" ht="60">
      <c r="A34" s="129">
        <v>33</v>
      </c>
      <c r="B34" s="143" t="s">
        <v>10</v>
      </c>
      <c r="C34" s="308" t="s">
        <v>11</v>
      </c>
      <c r="D34" s="309">
        <v>43790</v>
      </c>
      <c r="E34" s="306">
        <v>2019000050085</v>
      </c>
      <c r="F34" s="147" t="s">
        <v>262</v>
      </c>
      <c r="G34" s="146">
        <v>3158277405</v>
      </c>
      <c r="H34" s="145"/>
      <c r="I34" s="145"/>
      <c r="J34" s="145"/>
      <c r="K34" s="146">
        <v>2029649705</v>
      </c>
      <c r="L34" s="146">
        <v>1831968973</v>
      </c>
      <c r="M34" s="145"/>
      <c r="N34" s="119">
        <f t="shared" si="2"/>
        <v>7019896083</v>
      </c>
    </row>
    <row r="35" spans="1:15" ht="75">
      <c r="A35" s="129">
        <v>34</v>
      </c>
      <c r="B35" s="143" t="s">
        <v>10</v>
      </c>
      <c r="C35" s="308" t="s">
        <v>356</v>
      </c>
      <c r="D35" s="309">
        <v>43805</v>
      </c>
      <c r="E35" s="307" t="s">
        <v>196</v>
      </c>
      <c r="F35" s="147" t="s">
        <v>201</v>
      </c>
      <c r="G35" s="151"/>
      <c r="H35" s="145"/>
      <c r="I35" s="146">
        <v>6651376060</v>
      </c>
      <c r="J35" s="145"/>
      <c r="K35" s="151"/>
      <c r="L35" s="151"/>
      <c r="M35" s="146">
        <v>5810001040</v>
      </c>
      <c r="N35" s="119">
        <f t="shared" si="2"/>
        <v>12461377100</v>
      </c>
    </row>
    <row r="36" spans="1:15" ht="45">
      <c r="A36" s="129">
        <v>35</v>
      </c>
      <c r="B36" s="143" t="s">
        <v>10</v>
      </c>
      <c r="C36" s="275" t="s">
        <v>358</v>
      </c>
      <c r="D36" s="144">
        <v>43819</v>
      </c>
      <c r="E36" s="108">
        <v>2019000050027</v>
      </c>
      <c r="F36" s="186" t="s">
        <v>320</v>
      </c>
      <c r="G36" s="151">
        <v>4397237971</v>
      </c>
      <c r="H36" s="145"/>
      <c r="I36" s="151"/>
      <c r="J36" s="145"/>
      <c r="K36" s="151"/>
      <c r="L36" s="151"/>
      <c r="M36" s="151">
        <v>1465745991</v>
      </c>
      <c r="N36" s="119">
        <f t="shared" si="2"/>
        <v>5862983962</v>
      </c>
    </row>
    <row r="37" spans="1:15" ht="45">
      <c r="A37" s="222">
        <v>36</v>
      </c>
      <c r="B37" s="143" t="s">
        <v>10</v>
      </c>
      <c r="C37" s="275" t="s">
        <v>11</v>
      </c>
      <c r="D37" s="144">
        <v>43819</v>
      </c>
      <c r="E37" s="225">
        <v>2019000050075</v>
      </c>
      <c r="F37" s="226" t="s">
        <v>231</v>
      </c>
      <c r="G37" s="151"/>
      <c r="H37" s="145"/>
      <c r="I37" s="151">
        <v>463929250</v>
      </c>
      <c r="J37" s="145"/>
      <c r="K37" s="151"/>
      <c r="L37" s="151">
        <v>7040513841</v>
      </c>
      <c r="M37" s="151"/>
      <c r="N37" s="119">
        <f t="shared" si="2"/>
        <v>7504443091</v>
      </c>
    </row>
    <row r="38" spans="1:15" ht="42.75" customHeight="1">
      <c r="A38" s="356">
        <v>37</v>
      </c>
      <c r="B38" s="357" t="s">
        <v>10</v>
      </c>
      <c r="C38" s="358" t="s">
        <v>357</v>
      </c>
      <c r="D38" s="359"/>
      <c r="E38" s="300">
        <v>2018000100106</v>
      </c>
      <c r="F38" s="360" t="s">
        <v>335</v>
      </c>
      <c r="G38" s="361"/>
      <c r="H38" s="362"/>
      <c r="I38" s="361"/>
      <c r="J38" s="361">
        <v>0</v>
      </c>
      <c r="K38" s="361"/>
      <c r="L38" s="361"/>
      <c r="M38" s="361">
        <v>0</v>
      </c>
      <c r="N38" s="363">
        <v>0</v>
      </c>
      <c r="O38" s="364" t="s">
        <v>402</v>
      </c>
    </row>
    <row r="39" spans="1:15" ht="42.75" customHeight="1">
      <c r="A39" s="224">
        <v>38</v>
      </c>
      <c r="B39" s="223" t="s">
        <v>10</v>
      </c>
      <c r="C39" s="276" t="s">
        <v>357</v>
      </c>
      <c r="D39" s="144" t="s">
        <v>432</v>
      </c>
      <c r="E39" s="300" t="s">
        <v>336</v>
      </c>
      <c r="F39" s="226" t="s">
        <v>337</v>
      </c>
      <c r="G39" s="151"/>
      <c r="H39" s="145"/>
      <c r="I39" s="151"/>
      <c r="J39" s="151">
        <v>160000000</v>
      </c>
      <c r="K39" s="151"/>
      <c r="L39" s="151"/>
      <c r="M39" s="151">
        <v>2654671307</v>
      </c>
      <c r="N39" s="119">
        <f t="shared" si="2"/>
        <v>2814671307</v>
      </c>
    </row>
    <row r="40" spans="1:15" ht="72.75" customHeight="1">
      <c r="A40" s="278">
        <v>39</v>
      </c>
      <c r="B40" s="223" t="s">
        <v>10</v>
      </c>
      <c r="C40" s="276" t="s">
        <v>357</v>
      </c>
      <c r="D40" s="144" t="s">
        <v>433</v>
      </c>
      <c r="E40" s="300" t="s">
        <v>361</v>
      </c>
      <c r="F40" s="226" t="s">
        <v>362</v>
      </c>
      <c r="G40" s="151"/>
      <c r="H40" s="145"/>
      <c r="I40" s="151"/>
      <c r="J40" s="151">
        <v>438712287.01999998</v>
      </c>
      <c r="K40" s="151"/>
      <c r="L40" s="151"/>
      <c r="M40" s="279">
        <v>1947879310.96</v>
      </c>
      <c r="N40" s="119">
        <f t="shared" si="2"/>
        <v>2386591597.98</v>
      </c>
    </row>
    <row r="41" spans="1:15" ht="72.75" customHeight="1">
      <c r="A41" s="278">
        <v>40</v>
      </c>
      <c r="B41" s="223">
        <v>2019</v>
      </c>
      <c r="C41" s="276" t="s">
        <v>357</v>
      </c>
      <c r="D41" s="144" t="s">
        <v>433</v>
      </c>
      <c r="E41" s="411" t="s">
        <v>363</v>
      </c>
      <c r="F41" s="280" t="s">
        <v>364</v>
      </c>
      <c r="G41" s="151"/>
      <c r="H41" s="145"/>
      <c r="I41" s="151"/>
      <c r="J41" s="405">
        <v>250000000</v>
      </c>
      <c r="K41" s="151"/>
      <c r="L41" s="151"/>
      <c r="M41" s="282">
        <v>1044375000</v>
      </c>
      <c r="N41" s="119">
        <f t="shared" si="2"/>
        <v>1294375000</v>
      </c>
    </row>
    <row r="42" spans="1:15" ht="72.75" customHeight="1">
      <c r="A42" s="278">
        <v>41</v>
      </c>
      <c r="B42" s="223">
        <v>2019</v>
      </c>
      <c r="C42" s="276" t="s">
        <v>357</v>
      </c>
      <c r="D42" s="144" t="s">
        <v>434</v>
      </c>
      <c r="E42" s="411" t="s">
        <v>365</v>
      </c>
      <c r="F42" s="280" t="s">
        <v>366</v>
      </c>
      <c r="G42" s="151"/>
      <c r="H42" s="145"/>
      <c r="I42" s="151"/>
      <c r="J42" s="405">
        <v>299220000</v>
      </c>
      <c r="K42" s="151"/>
      <c r="L42" s="151"/>
      <c r="M42" s="282">
        <v>44375000</v>
      </c>
      <c r="N42" s="119">
        <f t="shared" si="2"/>
        <v>343595000</v>
      </c>
    </row>
    <row r="43" spans="1:15" ht="72.75" customHeight="1">
      <c r="A43" s="278">
        <v>42</v>
      </c>
      <c r="B43" s="223">
        <v>2019</v>
      </c>
      <c r="C43" s="276" t="s">
        <v>357</v>
      </c>
      <c r="D43" s="144" t="s">
        <v>434</v>
      </c>
      <c r="E43" s="411" t="s">
        <v>367</v>
      </c>
      <c r="F43" s="280" t="s">
        <v>368</v>
      </c>
      <c r="G43" s="151"/>
      <c r="H43" s="145"/>
      <c r="I43" s="151"/>
      <c r="J43" s="405">
        <v>250000000</v>
      </c>
      <c r="K43" s="151"/>
      <c r="L43" s="151"/>
      <c r="M43" s="282">
        <v>44375000</v>
      </c>
      <c r="N43" s="119">
        <f t="shared" si="2"/>
        <v>294375000</v>
      </c>
    </row>
    <row r="44" spans="1:15" ht="72.75" customHeight="1">
      <c r="A44" s="278">
        <v>43</v>
      </c>
      <c r="B44" s="223">
        <v>2019</v>
      </c>
      <c r="C44" s="276" t="s">
        <v>357</v>
      </c>
      <c r="D44" s="144" t="s">
        <v>435</v>
      </c>
      <c r="E44" s="411" t="s">
        <v>369</v>
      </c>
      <c r="F44" s="280" t="s">
        <v>370</v>
      </c>
      <c r="G44" s="151"/>
      <c r="H44" s="145"/>
      <c r="I44" s="151"/>
      <c r="J44" s="281">
        <v>2175692204</v>
      </c>
      <c r="K44" s="151"/>
      <c r="L44" s="151"/>
      <c r="M44" s="282">
        <v>18986372296</v>
      </c>
      <c r="N44" s="119">
        <f t="shared" si="2"/>
        <v>21162064500</v>
      </c>
    </row>
    <row r="45" spans="1:15" ht="72.75" customHeight="1">
      <c r="A45" s="278">
        <v>44</v>
      </c>
      <c r="B45" s="223">
        <v>2019</v>
      </c>
      <c r="C45" s="276" t="s">
        <v>357</v>
      </c>
      <c r="D45" s="144" t="s">
        <v>432</v>
      </c>
      <c r="E45" s="411" t="s">
        <v>371</v>
      </c>
      <c r="F45" s="280" t="s">
        <v>372</v>
      </c>
      <c r="G45" s="151"/>
      <c r="H45" s="145"/>
      <c r="I45" s="151"/>
      <c r="J45" s="405">
        <v>445438301.16000003</v>
      </c>
      <c r="K45" s="151"/>
      <c r="L45" s="151"/>
      <c r="M45" s="282">
        <v>773230540</v>
      </c>
      <c r="N45" s="119">
        <f t="shared" si="2"/>
        <v>1218668841.1600001</v>
      </c>
    </row>
    <row r="46" spans="1:15" ht="16.5" thickBot="1">
      <c r="A46" s="766" t="s">
        <v>190</v>
      </c>
      <c r="B46" s="767"/>
      <c r="C46" s="767"/>
      <c r="D46" s="767"/>
      <c r="E46" s="767"/>
      <c r="F46" s="767"/>
      <c r="G46" s="123">
        <f>SUM(G2:G39)</f>
        <v>125503455318</v>
      </c>
      <c r="H46" s="123">
        <f>SUM(H2:H39)</f>
        <v>0</v>
      </c>
      <c r="I46" s="123">
        <f>SUM(I2:I39)</f>
        <v>60981030645</v>
      </c>
      <c r="J46" s="123">
        <f>SUM(J2:J45)</f>
        <v>25179132781.18</v>
      </c>
      <c r="K46" s="123">
        <f>SUM(K2:K39)</f>
        <v>2029649705</v>
      </c>
      <c r="L46" s="123">
        <f>SUM(L2:L39)</f>
        <v>13486697322</v>
      </c>
      <c r="M46" s="123">
        <f>SUM(M2:M40)</f>
        <v>27511208511.959999</v>
      </c>
      <c r="N46" s="123">
        <f>SUM(N2:N39)</f>
        <v>248884232180</v>
      </c>
    </row>
    <row r="49" spans="6:9">
      <c r="I49" s="185"/>
    </row>
    <row r="51" spans="6:9">
      <c r="H51" s="185"/>
    </row>
    <row r="53" spans="6:9">
      <c r="F53" s="206"/>
    </row>
    <row r="54" spans="6:9">
      <c r="F54" s="204"/>
    </row>
    <row r="56" spans="6:9">
      <c r="F56" s="203"/>
    </row>
    <row r="58" spans="6:9">
      <c r="G58" s="185"/>
    </row>
    <row r="90" ht="30" customHeight="1"/>
    <row r="91" ht="30" customHeight="1"/>
    <row r="92" ht="30" customHeight="1"/>
    <row r="93" ht="30" customHeight="1"/>
    <row r="94" ht="15" customHeight="1"/>
  </sheetData>
  <mergeCells count="1">
    <mergeCell ref="A46:F46"/>
  </mergeCells>
  <pageMargins left="0.25" right="0.25" top="0.41" bottom="0.39" header="0.3" footer="0.3"/>
  <pageSetup scale="24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35"/>
  <sheetViews>
    <sheetView zoomScale="70" zoomScaleNormal="70" workbookViewId="0">
      <selection activeCell="A4" sqref="A4"/>
    </sheetView>
  </sheetViews>
  <sheetFormatPr baseColWidth="10" defaultColWidth="11.42578125" defaultRowHeight="18"/>
  <cols>
    <col min="1" max="1" width="36.5703125" style="81" customWidth="1"/>
    <col min="2" max="2" width="30.85546875" style="81" customWidth="1"/>
    <col min="3" max="3" width="29.85546875" style="81" customWidth="1"/>
    <col min="4" max="4" width="29.42578125" style="81" customWidth="1"/>
    <col min="5" max="5" width="29.140625" style="81" customWidth="1"/>
    <col min="6" max="6" width="28.85546875" style="81" customWidth="1"/>
    <col min="7" max="7" width="28.7109375" style="81" customWidth="1"/>
    <col min="8" max="8" width="30.28515625" style="81" customWidth="1"/>
    <col min="9" max="9" width="30.5703125" style="81" bestFit="1" customWidth="1"/>
    <col min="10" max="10" width="11.42578125" style="81"/>
    <col min="11" max="11" width="19.28515625" style="81" bestFit="1" customWidth="1"/>
    <col min="12" max="16384" width="11.42578125" style="81"/>
  </cols>
  <sheetData>
    <row r="1" spans="1:9" ht="18.75" thickBot="1"/>
    <row r="2" spans="1:9" ht="54">
      <c r="A2" s="237" t="s">
        <v>178</v>
      </c>
      <c r="B2" s="769" t="s">
        <v>339</v>
      </c>
      <c r="C2" s="770"/>
      <c r="D2" s="770"/>
      <c r="E2" s="770"/>
      <c r="F2" s="770"/>
      <c r="G2" s="771"/>
      <c r="H2" s="242"/>
    </row>
    <row r="3" spans="1:9" ht="36">
      <c r="A3" s="238" t="s">
        <v>179</v>
      </c>
      <c r="B3" s="239" t="s">
        <v>386</v>
      </c>
      <c r="C3" s="240" t="s">
        <v>181</v>
      </c>
      <c r="D3" s="241" t="s">
        <v>383</v>
      </c>
      <c r="E3" s="241" t="s">
        <v>395</v>
      </c>
      <c r="F3" s="241" t="s">
        <v>396</v>
      </c>
      <c r="G3" s="294" t="s">
        <v>397</v>
      </c>
      <c r="H3" s="297" t="s">
        <v>398</v>
      </c>
    </row>
    <row r="4" spans="1:9">
      <c r="A4" s="243" t="s">
        <v>184</v>
      </c>
      <c r="B4" s="228">
        <f>+'SALDOS 2019'!G4</f>
        <v>9652286163</v>
      </c>
      <c r="C4" s="229">
        <f>+' PROYECTOS APROBADOS 2020'!F42</f>
        <v>9652286163</v>
      </c>
      <c r="D4" s="230">
        <f t="shared" ref="D4:D10" si="0">+B4-C4</f>
        <v>0</v>
      </c>
      <c r="E4" s="227">
        <f>+'INICIATIVAS  VERIFICACIÓN 21-22'!I27</f>
        <v>0</v>
      </c>
      <c r="F4" s="228"/>
      <c r="G4" s="295">
        <f>+D4-E4-F4</f>
        <v>0</v>
      </c>
      <c r="H4" s="298">
        <f t="shared" ref="H4:H10" si="1">D4-E4-F4</f>
        <v>0</v>
      </c>
    </row>
    <row r="5" spans="1:9">
      <c r="A5" s="244" t="s">
        <v>185</v>
      </c>
      <c r="B5" s="231">
        <v>69518048910</v>
      </c>
      <c r="C5" s="232">
        <f>+' PROYECTOS APROBADOS 2020'!G42</f>
        <v>64262987912</v>
      </c>
      <c r="D5" s="233">
        <f>+B5-C5</f>
        <v>5255060998</v>
      </c>
      <c r="E5" s="227">
        <v>0</v>
      </c>
      <c r="F5" s="227">
        <f>+'INICIATIVAS  VERIFICACIÓN 21-22'!M18</f>
        <v>0</v>
      </c>
      <c r="G5" s="296">
        <f>D5-E5</f>
        <v>5255060998</v>
      </c>
      <c r="H5" s="299">
        <f t="shared" si="1"/>
        <v>5255060998</v>
      </c>
      <c r="I5" s="105"/>
    </row>
    <row r="6" spans="1:9">
      <c r="A6" s="245" t="s">
        <v>186</v>
      </c>
      <c r="B6" s="231">
        <v>61193279051.396896</v>
      </c>
      <c r="C6" s="232">
        <f>+' PROYECTOS APROBADOS 2020'!I42</f>
        <v>56930291774</v>
      </c>
      <c r="D6" s="233">
        <f>+B6-C6</f>
        <v>4262987277.3968964</v>
      </c>
      <c r="E6" s="227">
        <v>0</v>
      </c>
      <c r="F6" s="227">
        <f>+'INICIATIVAS  VERIFICACIÓN 21-22'!N18</f>
        <v>0</v>
      </c>
      <c r="G6" s="296">
        <f>+D6-E6</f>
        <v>4262987277.3968964</v>
      </c>
      <c r="H6" s="299">
        <f t="shared" si="1"/>
        <v>4262987277.3968964</v>
      </c>
      <c r="I6" s="105"/>
    </row>
    <row r="7" spans="1:9">
      <c r="A7" s="246" t="s">
        <v>187</v>
      </c>
      <c r="B7" s="231">
        <v>7227603443</v>
      </c>
      <c r="C7" s="232">
        <f>+' PROYECTOS APROBADOS 2020'!H42</f>
        <v>0</v>
      </c>
      <c r="D7" s="233">
        <f>+B7-C7</f>
        <v>7227603443</v>
      </c>
      <c r="E7" s="234">
        <v>0</v>
      </c>
      <c r="F7" s="234">
        <f>+'INICIATIVAS EN FORMULACIÓN '!K9</f>
        <v>0</v>
      </c>
      <c r="G7" s="296">
        <f>+D7-E7</f>
        <v>7227603443</v>
      </c>
      <c r="H7" s="298">
        <f t="shared" si="1"/>
        <v>7227603443</v>
      </c>
      <c r="I7" s="105"/>
    </row>
    <row r="8" spans="1:9" ht="36" hidden="1">
      <c r="A8" s="244" t="s">
        <v>219</v>
      </c>
      <c r="B8" s="235">
        <v>0</v>
      </c>
      <c r="C8" s="231">
        <v>0</v>
      </c>
      <c r="D8" s="233">
        <f t="shared" si="0"/>
        <v>0</v>
      </c>
      <c r="E8" s="236">
        <f>+'INICIATIVAS  VERIFICACIÓN 21-22'!P18</f>
        <v>0</v>
      </c>
      <c r="F8" s="236">
        <f>+'INICIATIVAS EN FORMULACIÓN '!L9</f>
        <v>0</v>
      </c>
      <c r="G8" s="295">
        <f>+D8-E8-F8</f>
        <v>0</v>
      </c>
      <c r="H8" s="298">
        <f t="shared" si="1"/>
        <v>0</v>
      </c>
      <c r="I8" s="105"/>
    </row>
    <row r="9" spans="1:9">
      <c r="A9" s="244" t="s">
        <v>188</v>
      </c>
      <c r="B9" s="231">
        <f>+'SALDOS 2019'!E21</f>
        <v>75661846161.979996</v>
      </c>
      <c r="C9" s="231">
        <f>+' PROYECTOS APROBADOS 2020'!J42</f>
        <v>63805973532.770004</v>
      </c>
      <c r="D9" s="233">
        <f t="shared" si="0"/>
        <v>11855872629.209991</v>
      </c>
      <c r="E9" s="236">
        <f>+'INICIATIVAS  VERIFICACIÓN 21-22'!Q21</f>
        <v>0</v>
      </c>
      <c r="F9" s="236">
        <f>+'INICIATIVAS EN FORMULACIÓN '!M9</f>
        <v>0</v>
      </c>
      <c r="G9" s="295">
        <f>+D9-E9-F9</f>
        <v>11855872629.209991</v>
      </c>
      <c r="H9" s="298">
        <f t="shared" si="1"/>
        <v>11855872629.209991</v>
      </c>
      <c r="I9" s="105"/>
    </row>
    <row r="10" spans="1:9">
      <c r="A10" s="244" t="s">
        <v>189</v>
      </c>
      <c r="B10" s="235">
        <v>0</v>
      </c>
      <c r="C10" s="231">
        <f>+' PROYECTOS APROBADOS 2020'!L42</f>
        <v>0</v>
      </c>
      <c r="D10" s="233">
        <f t="shared" si="0"/>
        <v>0</v>
      </c>
      <c r="E10" s="236">
        <f>+'INICIATIVAS  VERIFICACIÓN 21-22'!S18</f>
        <v>0</v>
      </c>
      <c r="F10" s="236">
        <f>+'INICIATIVAS EN FORMULACIÓN '!N9</f>
        <v>0</v>
      </c>
      <c r="G10" s="295">
        <f>+D10-E10-F10</f>
        <v>0</v>
      </c>
      <c r="H10" s="298">
        <f t="shared" si="1"/>
        <v>0</v>
      </c>
    </row>
    <row r="11" spans="1:9" ht="18.75" thickBot="1">
      <c r="A11" s="247" t="s">
        <v>190</v>
      </c>
      <c r="B11" s="250">
        <f>+B4+B5+B6+B7+B9</f>
        <v>223253063729.37689</v>
      </c>
      <c r="C11" s="250">
        <f t="shared" ref="C11:H11" si="2">+C4+C5+C6+C7+C9</f>
        <v>194651539381.77002</v>
      </c>
      <c r="D11" s="250">
        <f t="shared" si="2"/>
        <v>28601524347.606888</v>
      </c>
      <c r="E11" s="250">
        <f t="shared" si="2"/>
        <v>0</v>
      </c>
      <c r="F11" s="250">
        <f t="shared" si="2"/>
        <v>0</v>
      </c>
      <c r="G11" s="250">
        <f t="shared" si="2"/>
        <v>28601524347.606888</v>
      </c>
      <c r="H11" s="250">
        <f t="shared" si="2"/>
        <v>28601524347.606888</v>
      </c>
      <c r="I11" s="105"/>
    </row>
    <row r="12" spans="1:9">
      <c r="B12" s="105"/>
      <c r="D12" s="82"/>
      <c r="G12" s="82"/>
      <c r="H12" s="153"/>
      <c r="I12" s="105"/>
    </row>
    <row r="13" spans="1:9" ht="18.75" thickBot="1">
      <c r="B13" s="105"/>
      <c r="C13" s="153"/>
      <c r="D13" s="153"/>
    </row>
    <row r="14" spans="1:9" ht="58.5" customHeight="1">
      <c r="A14" s="248" t="s">
        <v>452</v>
      </c>
      <c r="B14" s="327">
        <f>+D11</f>
        <v>28601524347.606888</v>
      </c>
      <c r="C14" s="154"/>
      <c r="D14" s="157"/>
      <c r="F14" s="72"/>
      <c r="G14" s="415"/>
      <c r="I14" s="82"/>
    </row>
    <row r="15" spans="1:9" ht="40.5" hidden="1" customHeight="1" thickBot="1">
      <c r="A15" s="249" t="s">
        <v>338</v>
      </c>
      <c r="B15" s="159">
        <f>+G9</f>
        <v>11855872629.209991</v>
      </c>
      <c r="C15" s="92"/>
      <c r="D15" s="92"/>
    </row>
    <row r="16" spans="1:9" ht="18.75" thickBot="1">
      <c r="B16" s="140"/>
      <c r="C16" s="92"/>
      <c r="D16" s="92"/>
      <c r="F16" s="219"/>
      <c r="G16" s="314"/>
      <c r="H16" s="416"/>
      <c r="I16" s="184"/>
    </row>
    <row r="17" spans="1:9" ht="45.6" customHeight="1">
      <c r="A17" s="248" t="s">
        <v>451</v>
      </c>
      <c r="B17" s="327">
        <f>+G11</f>
        <v>28601524347.606888</v>
      </c>
      <c r="C17" s="82"/>
      <c r="D17" s="284"/>
      <c r="E17" s="92"/>
      <c r="F17" s="314"/>
      <c r="G17" s="314"/>
      <c r="H17" s="416"/>
      <c r="I17" s="72"/>
    </row>
    <row r="18" spans="1:9">
      <c r="B18" s="155"/>
      <c r="C18" s="153"/>
      <c r="D18" s="283"/>
    </row>
    <row r="19" spans="1:9">
      <c r="B19" s="82"/>
      <c r="C19" s="404"/>
      <c r="D19" s="253"/>
      <c r="F19" s="772"/>
      <c r="G19" s="772"/>
      <c r="I19" s="416"/>
    </row>
    <row r="20" spans="1:9">
      <c r="B20" s="153"/>
      <c r="C20" s="772"/>
      <c r="D20" s="772"/>
      <c r="G20" s="369"/>
    </row>
    <row r="21" spans="1:9">
      <c r="D21" s="369"/>
      <c r="E21" s="375"/>
      <c r="G21" s="369"/>
    </row>
    <row r="22" spans="1:9">
      <c r="D22" s="371"/>
      <c r="E22" s="375"/>
      <c r="G22" s="105"/>
    </row>
    <row r="23" spans="1:9">
      <c r="C23" s="329"/>
      <c r="D23" s="330"/>
      <c r="E23" s="375"/>
    </row>
    <row r="24" spans="1:9">
      <c r="D24" s="370"/>
      <c r="E24" s="375"/>
    </row>
    <row r="25" spans="1:9">
      <c r="C25" s="81" t="s">
        <v>463</v>
      </c>
      <c r="D25" s="105">
        <f>+D23-D24</f>
        <v>0</v>
      </c>
      <c r="E25" s="375" t="e">
        <f>+D25/D21</f>
        <v>#DIV/0!</v>
      </c>
    </row>
    <row r="26" spans="1:9">
      <c r="D26" s="81" t="s">
        <v>462</v>
      </c>
    </row>
    <row r="27" spans="1:9">
      <c r="C27" s="768" t="s">
        <v>488</v>
      </c>
      <c r="D27" s="768"/>
      <c r="E27" s="376">
        <f>+E22+E24</f>
        <v>0</v>
      </c>
    </row>
    <row r="30" spans="1:9">
      <c r="C30" s="768" t="s">
        <v>237</v>
      </c>
      <c r="D30" s="768"/>
    </row>
    <row r="31" spans="1:9">
      <c r="C31" s="81" t="s">
        <v>486</v>
      </c>
      <c r="D31" s="82">
        <f>+B9</f>
        <v>75661846161.979996</v>
      </c>
      <c r="E31" s="375">
        <v>1</v>
      </c>
    </row>
    <row r="32" spans="1:9">
      <c r="C32" s="81" t="s">
        <v>461</v>
      </c>
      <c r="D32" s="373">
        <f>+C9</f>
        <v>63805973532.770004</v>
      </c>
      <c r="E32" s="375">
        <f>+D32/D31</f>
        <v>0.84330447602575742</v>
      </c>
    </row>
    <row r="33" spans="3:5">
      <c r="C33" s="374" t="s">
        <v>487</v>
      </c>
      <c r="D33" s="82">
        <f>+D31-D32</f>
        <v>11855872629.209991</v>
      </c>
      <c r="E33" s="375">
        <f>+D33/D31</f>
        <v>0.15669552397424261</v>
      </c>
    </row>
    <row r="35" spans="3:5">
      <c r="C35" s="768" t="s">
        <v>489</v>
      </c>
      <c r="D35" s="768"/>
      <c r="E35" s="376">
        <f>+E32</f>
        <v>0.84330447602575742</v>
      </c>
    </row>
  </sheetData>
  <mergeCells count="6">
    <mergeCell ref="C35:D35"/>
    <mergeCell ref="B2:G2"/>
    <mergeCell ref="C20:D20"/>
    <mergeCell ref="C30:D30"/>
    <mergeCell ref="F19:G19"/>
    <mergeCell ref="C27:D27"/>
  </mergeCells>
  <pageMargins left="0.25" right="0.25" top="0.75" bottom="0.75" header="0.3" footer="0.3"/>
  <pageSetup scale="6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B90"/>
  <sheetViews>
    <sheetView topLeftCell="D25" zoomScale="90" zoomScaleNormal="90" workbookViewId="0">
      <selection activeCell="F26" sqref="F26"/>
    </sheetView>
  </sheetViews>
  <sheetFormatPr baseColWidth="10" defaultColWidth="11.42578125" defaultRowHeight="15"/>
  <cols>
    <col min="1" max="1" width="9.140625" style="8" bestFit="1" customWidth="1"/>
    <col min="2" max="2" width="18.5703125" style="8" customWidth="1"/>
    <col min="3" max="3" width="22.140625" style="8" customWidth="1"/>
    <col min="4" max="4" width="21.7109375" style="8" customWidth="1"/>
    <col min="5" max="5" width="50.140625" style="12" customWidth="1"/>
    <col min="6" max="6" width="25.7109375" style="12" customWidth="1"/>
    <col min="7" max="7" width="26.140625" style="8" bestFit="1" customWidth="1"/>
    <col min="8" max="8" width="20.42578125" style="8" customWidth="1"/>
    <col min="9" max="9" width="25.85546875" style="8" customWidth="1"/>
    <col min="10" max="10" width="26.28515625" style="13" bestFit="1" customWidth="1"/>
    <col min="11" max="13" width="24.5703125" style="13" customWidth="1"/>
    <col min="14" max="14" width="24.7109375" style="13" bestFit="1" customWidth="1"/>
    <col min="15" max="15" width="24.5703125" style="13" customWidth="1"/>
    <col min="16" max="16" width="23.42578125" style="13" customWidth="1"/>
    <col min="17" max="18" width="32.28515625" style="13" bestFit="1" customWidth="1"/>
    <col min="19" max="19" width="19.28515625" style="8" hidden="1" customWidth="1"/>
    <col min="20" max="16384" width="11.42578125" style="8"/>
  </cols>
  <sheetData>
    <row r="1" spans="1:19" ht="32.25" thickBot="1">
      <c r="A1" s="137" t="s">
        <v>232</v>
      </c>
      <c r="B1" s="137" t="s">
        <v>152</v>
      </c>
      <c r="C1" s="137" t="s">
        <v>233</v>
      </c>
      <c r="D1" s="137" t="s">
        <v>156</v>
      </c>
      <c r="E1" s="137" t="s">
        <v>234</v>
      </c>
      <c r="F1" s="137" t="s">
        <v>360</v>
      </c>
      <c r="G1" s="138" t="s">
        <v>235</v>
      </c>
      <c r="H1" s="139" t="s">
        <v>236</v>
      </c>
      <c r="I1" s="138" t="s">
        <v>150</v>
      </c>
      <c r="J1" s="138" t="s">
        <v>237</v>
      </c>
      <c r="K1" s="138" t="s">
        <v>238</v>
      </c>
      <c r="L1" s="138" t="s">
        <v>189</v>
      </c>
      <c r="M1" s="138" t="s">
        <v>239</v>
      </c>
      <c r="N1" s="138" t="s">
        <v>240</v>
      </c>
      <c r="O1" s="26"/>
      <c r="P1" s="26"/>
      <c r="Q1" s="26"/>
      <c r="R1" s="26"/>
      <c r="S1" s="25"/>
    </row>
    <row r="2" spans="1:19" ht="48">
      <c r="A2" s="129">
        <v>1</v>
      </c>
      <c r="B2" s="130" t="s">
        <v>10</v>
      </c>
      <c r="C2" s="132">
        <v>2020</v>
      </c>
      <c r="D2" s="302">
        <v>2020000050003</v>
      </c>
      <c r="E2" s="257" t="s">
        <v>346</v>
      </c>
      <c r="F2" s="315"/>
      <c r="G2" s="254">
        <v>5767163702</v>
      </c>
      <c r="H2" s="251"/>
      <c r="I2" s="251">
        <v>37666131862</v>
      </c>
      <c r="J2" s="135"/>
      <c r="K2" s="135"/>
      <c r="L2" s="135"/>
      <c r="M2" s="251"/>
      <c r="N2" s="251">
        <f>SUM(G2:M2)</f>
        <v>43433295564</v>
      </c>
    </row>
    <row r="3" spans="1:19" ht="36" customHeight="1">
      <c r="A3" s="124">
        <v>2</v>
      </c>
      <c r="B3" s="106" t="s">
        <v>10</v>
      </c>
      <c r="C3" s="132">
        <v>2020</v>
      </c>
      <c r="D3" s="302">
        <v>2020000050012</v>
      </c>
      <c r="E3" s="257" t="s">
        <v>348</v>
      </c>
      <c r="F3" s="315"/>
      <c r="G3" s="254">
        <v>5419592232</v>
      </c>
      <c r="H3" s="120"/>
      <c r="I3" s="121"/>
      <c r="J3" s="121"/>
      <c r="K3" s="121"/>
      <c r="L3" s="121"/>
      <c r="M3" s="251"/>
      <c r="N3" s="251">
        <f t="shared" ref="N3:N41" si="0">SUM(G3:M3)</f>
        <v>5419592232</v>
      </c>
      <c r="O3" s="8"/>
      <c r="P3" s="8"/>
      <c r="Q3" s="8"/>
    </row>
    <row r="4" spans="1:19" ht="61.5" customHeight="1">
      <c r="A4" s="129">
        <v>3</v>
      </c>
      <c r="B4" s="106" t="s">
        <v>10</v>
      </c>
      <c r="C4" s="132">
        <v>2020</v>
      </c>
      <c r="D4" s="108">
        <v>2020000050019</v>
      </c>
      <c r="E4" s="257" t="s">
        <v>347</v>
      </c>
      <c r="F4" s="316"/>
      <c r="G4" s="255">
        <v>18324075208</v>
      </c>
      <c r="H4" s="120"/>
      <c r="I4" s="255">
        <v>7916879792</v>
      </c>
      <c r="J4" s="121"/>
      <c r="K4" s="121"/>
      <c r="L4" s="121"/>
      <c r="M4" s="251"/>
      <c r="N4" s="251">
        <f t="shared" si="0"/>
        <v>26240955000</v>
      </c>
      <c r="O4" s="660">
        <f>+N4</f>
        <v>26240955000</v>
      </c>
      <c r="P4" s="8"/>
      <c r="Q4" s="8"/>
    </row>
    <row r="5" spans="1:19" ht="72">
      <c r="A5" s="124">
        <v>4</v>
      </c>
      <c r="B5" s="106" t="s">
        <v>10</v>
      </c>
      <c r="C5" s="132">
        <v>2020</v>
      </c>
      <c r="D5" s="412">
        <v>2020000100003</v>
      </c>
      <c r="E5" s="257" t="s">
        <v>373</v>
      </c>
      <c r="F5" s="315"/>
      <c r="G5" s="120"/>
      <c r="H5" s="120"/>
      <c r="I5" s="121"/>
      <c r="J5" s="251">
        <v>448850249.74000001</v>
      </c>
      <c r="K5" s="121"/>
      <c r="L5" s="121"/>
      <c r="M5" s="251"/>
      <c r="N5" s="251">
        <f t="shared" si="0"/>
        <v>448850249.74000001</v>
      </c>
      <c r="O5" s="8"/>
      <c r="P5" s="8"/>
      <c r="Q5" s="8"/>
    </row>
    <row r="6" spans="1:19" ht="96.75" customHeight="1">
      <c r="A6" s="129">
        <v>5</v>
      </c>
      <c r="B6" s="106" t="s">
        <v>10</v>
      </c>
      <c r="C6" s="132" t="s">
        <v>436</v>
      </c>
      <c r="D6" s="412">
        <v>2020000100004</v>
      </c>
      <c r="E6" s="257" t="s">
        <v>374</v>
      </c>
      <c r="F6" s="315"/>
      <c r="G6" s="120"/>
      <c r="H6" s="120"/>
      <c r="I6" s="121"/>
      <c r="J6" s="251">
        <v>223854069</v>
      </c>
      <c r="K6" s="121"/>
      <c r="L6" s="121"/>
      <c r="M6" s="251"/>
      <c r="N6" s="251">
        <f t="shared" si="0"/>
        <v>223854069</v>
      </c>
      <c r="O6" s="8"/>
      <c r="P6" s="8"/>
      <c r="Q6" s="8"/>
    </row>
    <row r="7" spans="1:19" ht="84.75" customHeight="1">
      <c r="A7" s="124">
        <v>6</v>
      </c>
      <c r="B7" s="106" t="s">
        <v>10</v>
      </c>
      <c r="C7" s="107" t="s">
        <v>436</v>
      </c>
      <c r="D7" s="413" t="s">
        <v>375</v>
      </c>
      <c r="E7" s="257" t="s">
        <v>376</v>
      </c>
      <c r="F7" s="315"/>
      <c r="G7" s="120"/>
      <c r="H7" s="120"/>
      <c r="I7" s="121"/>
      <c r="J7" s="251">
        <v>444702942.42000002</v>
      </c>
      <c r="K7" s="121"/>
      <c r="L7" s="121"/>
      <c r="M7" s="251"/>
      <c r="N7" s="251">
        <f t="shared" si="0"/>
        <v>444702942.42000002</v>
      </c>
      <c r="O7" s="8"/>
      <c r="P7" s="8"/>
      <c r="Q7" s="8"/>
    </row>
    <row r="8" spans="1:19" ht="60" customHeight="1">
      <c r="A8" s="129">
        <v>7</v>
      </c>
      <c r="B8" s="106" t="s">
        <v>10</v>
      </c>
      <c r="C8" s="107" t="s">
        <v>437</v>
      </c>
      <c r="D8" s="413" t="s">
        <v>377</v>
      </c>
      <c r="E8" s="257" t="s">
        <v>378</v>
      </c>
      <c r="F8" s="315"/>
      <c r="G8" s="120"/>
      <c r="I8" s="120"/>
      <c r="J8" s="251">
        <v>227533861.69999999</v>
      </c>
      <c r="K8" s="120"/>
      <c r="L8" s="120"/>
      <c r="M8" s="251"/>
      <c r="N8" s="251">
        <f t="shared" si="0"/>
        <v>227533861.69999999</v>
      </c>
      <c r="O8" s="8"/>
      <c r="P8" s="8"/>
      <c r="Q8" s="8"/>
    </row>
    <row r="9" spans="1:19" ht="89.25" customHeight="1">
      <c r="A9" s="124">
        <v>8</v>
      </c>
      <c r="B9" s="106" t="s">
        <v>10</v>
      </c>
      <c r="C9" s="107" t="s">
        <v>438</v>
      </c>
      <c r="D9" s="413" t="s">
        <v>379</v>
      </c>
      <c r="E9" s="257" t="s">
        <v>380</v>
      </c>
      <c r="F9" s="315"/>
      <c r="G9" s="120"/>
      <c r="H9" s="120"/>
      <c r="I9" s="120"/>
      <c r="J9" s="251">
        <v>4168513565</v>
      </c>
      <c r="K9" s="120"/>
      <c r="L9" s="120"/>
      <c r="M9" s="251"/>
      <c r="N9" s="251">
        <f t="shared" si="0"/>
        <v>4168513565</v>
      </c>
    </row>
    <row r="10" spans="1:19" ht="60">
      <c r="A10" s="129">
        <v>9</v>
      </c>
      <c r="B10" s="106" t="s">
        <v>10</v>
      </c>
      <c r="C10" s="107" t="s">
        <v>438</v>
      </c>
      <c r="D10" s="413" t="s">
        <v>381</v>
      </c>
      <c r="E10" s="257" t="s">
        <v>382</v>
      </c>
      <c r="F10" s="315"/>
      <c r="G10" s="120"/>
      <c r="H10" s="120"/>
      <c r="I10" s="120"/>
      <c r="J10" s="251">
        <v>4048003426</v>
      </c>
      <c r="K10" s="120"/>
      <c r="L10" s="120"/>
      <c r="M10" s="251"/>
      <c r="N10" s="251">
        <f t="shared" si="0"/>
        <v>4048003426</v>
      </c>
    </row>
    <row r="11" spans="1:19" ht="36">
      <c r="A11" s="124">
        <v>10</v>
      </c>
      <c r="B11" s="106" t="s">
        <v>10</v>
      </c>
      <c r="C11" s="107" t="s">
        <v>439</v>
      </c>
      <c r="D11" s="413" t="s">
        <v>403</v>
      </c>
      <c r="E11" s="257" t="s">
        <v>404</v>
      </c>
      <c r="F11" s="315"/>
      <c r="G11" s="120"/>
      <c r="H11" s="120"/>
      <c r="I11" s="120"/>
      <c r="J11" s="251">
        <v>456845037.89999998</v>
      </c>
      <c r="K11" s="120"/>
      <c r="L11" s="120"/>
      <c r="M11" s="251">
        <v>2351674962.0999999</v>
      </c>
      <c r="N11" s="251">
        <f t="shared" si="0"/>
        <v>2808520000</v>
      </c>
    </row>
    <row r="12" spans="1:19" ht="48">
      <c r="A12" s="129">
        <v>11</v>
      </c>
      <c r="B12" s="106" t="s">
        <v>10</v>
      </c>
      <c r="C12" s="107" t="s">
        <v>439</v>
      </c>
      <c r="D12" s="406" t="s">
        <v>405</v>
      </c>
      <c r="E12" s="257" t="s">
        <v>406</v>
      </c>
      <c r="F12" s="315"/>
      <c r="G12" s="120"/>
      <c r="H12" s="120"/>
      <c r="I12" s="120"/>
      <c r="J12" s="251">
        <v>440855461</v>
      </c>
      <c r="K12" s="120"/>
      <c r="L12" s="120"/>
      <c r="M12" s="251">
        <v>1636715753.28</v>
      </c>
      <c r="N12" s="251">
        <f t="shared" si="0"/>
        <v>2077571214.28</v>
      </c>
    </row>
    <row r="13" spans="1:19" ht="36">
      <c r="A13" s="124">
        <v>12</v>
      </c>
      <c r="B13" s="106" t="s">
        <v>10</v>
      </c>
      <c r="C13" s="107" t="s">
        <v>439</v>
      </c>
      <c r="D13" s="406" t="s">
        <v>407</v>
      </c>
      <c r="E13" s="257" t="s">
        <v>408</v>
      </c>
      <c r="F13" s="315"/>
      <c r="G13" s="120"/>
      <c r="H13" s="120"/>
      <c r="I13" s="120"/>
      <c r="J13" s="251">
        <v>456845037.89999998</v>
      </c>
      <c r="K13" s="120"/>
      <c r="L13" s="120"/>
      <c r="M13" s="251">
        <v>2720414658</v>
      </c>
      <c r="N13" s="251">
        <f t="shared" si="0"/>
        <v>3177259695.9000001</v>
      </c>
    </row>
    <row r="14" spans="1:19" ht="48">
      <c r="A14" s="129">
        <v>13</v>
      </c>
      <c r="B14" s="106" t="s">
        <v>10</v>
      </c>
      <c r="C14" s="107" t="s">
        <v>439</v>
      </c>
      <c r="D14" s="406" t="s">
        <v>409</v>
      </c>
      <c r="E14" s="257" t="s">
        <v>410</v>
      </c>
      <c r="F14" s="315"/>
      <c r="G14" s="120"/>
      <c r="H14" s="120"/>
      <c r="I14" s="120"/>
      <c r="J14" s="251">
        <v>228150309.21000001</v>
      </c>
      <c r="K14" s="120"/>
      <c r="L14" s="120"/>
      <c r="M14" s="251">
        <v>862457997</v>
      </c>
      <c r="N14" s="251">
        <f t="shared" si="0"/>
        <v>1090608306.21</v>
      </c>
    </row>
    <row r="15" spans="1:19" ht="36">
      <c r="A15" s="124">
        <v>14</v>
      </c>
      <c r="B15" s="106" t="s">
        <v>10</v>
      </c>
      <c r="C15" s="107" t="s">
        <v>439</v>
      </c>
      <c r="D15" s="406" t="s">
        <v>411</v>
      </c>
      <c r="E15" s="257" t="s">
        <v>412</v>
      </c>
      <c r="F15" s="315"/>
      <c r="G15" s="120"/>
      <c r="H15" s="120"/>
      <c r="I15" s="120"/>
      <c r="J15" s="251">
        <v>449314186.43000001</v>
      </c>
      <c r="K15" s="120"/>
      <c r="L15" s="120"/>
      <c r="M15" s="251">
        <v>1861320696.45</v>
      </c>
      <c r="N15" s="251">
        <f t="shared" si="0"/>
        <v>2310634882.8800001</v>
      </c>
    </row>
    <row r="16" spans="1:19" ht="45.6" customHeight="1">
      <c r="A16" s="129">
        <v>15</v>
      </c>
      <c r="B16" s="106" t="s">
        <v>10</v>
      </c>
      <c r="C16" s="107" t="s">
        <v>440</v>
      </c>
      <c r="D16" s="406" t="s">
        <v>413</v>
      </c>
      <c r="E16" s="257" t="s">
        <v>414</v>
      </c>
      <c r="F16" s="315"/>
      <c r="G16" s="120"/>
      <c r="H16" s="120"/>
      <c r="I16" s="120"/>
      <c r="J16" s="251">
        <v>456331888.76999998</v>
      </c>
      <c r="K16" s="120"/>
      <c r="L16" s="120"/>
      <c r="M16" s="251">
        <v>1568101780.23</v>
      </c>
      <c r="N16" s="251">
        <f t="shared" si="0"/>
        <v>2024433669</v>
      </c>
    </row>
    <row r="17" spans="1:14" ht="66" customHeight="1">
      <c r="A17" s="303">
        <v>16</v>
      </c>
      <c r="B17" s="106" t="s">
        <v>10</v>
      </c>
      <c r="C17" s="107" t="s">
        <v>439</v>
      </c>
      <c r="D17" s="414" t="s">
        <v>415</v>
      </c>
      <c r="E17" s="257" t="s">
        <v>416</v>
      </c>
      <c r="F17" s="316"/>
      <c r="G17" s="145"/>
      <c r="H17" s="145"/>
      <c r="I17" s="145"/>
      <c r="J17" s="251">
        <v>456319666.11000001</v>
      </c>
      <c r="K17" s="145"/>
      <c r="L17" s="145"/>
      <c r="M17" s="251">
        <v>2301377645.8899999</v>
      </c>
      <c r="N17" s="251">
        <f t="shared" si="0"/>
        <v>2757697312</v>
      </c>
    </row>
    <row r="18" spans="1:14" ht="63.6" customHeight="1">
      <c r="A18" s="303">
        <v>17</v>
      </c>
      <c r="B18" s="106" t="s">
        <v>10</v>
      </c>
      <c r="C18" s="107" t="s">
        <v>440</v>
      </c>
      <c r="D18" s="414" t="s">
        <v>417</v>
      </c>
      <c r="E18" s="257" t="s">
        <v>418</v>
      </c>
      <c r="F18" s="316"/>
      <c r="G18" s="145"/>
      <c r="H18" s="145"/>
      <c r="I18" s="145"/>
      <c r="J18" s="251">
        <v>3282745260</v>
      </c>
      <c r="K18" s="145"/>
      <c r="L18" s="145"/>
      <c r="M18" s="251">
        <v>1301224773</v>
      </c>
      <c r="N18" s="251">
        <f t="shared" si="0"/>
        <v>4583970033</v>
      </c>
    </row>
    <row r="19" spans="1:14" ht="54.95" customHeight="1">
      <c r="A19" s="303">
        <v>18</v>
      </c>
      <c r="B19" s="106" t="s">
        <v>10</v>
      </c>
      <c r="C19" s="107" t="s">
        <v>440</v>
      </c>
      <c r="D19" s="414" t="s">
        <v>419</v>
      </c>
      <c r="E19" s="257" t="s">
        <v>420</v>
      </c>
      <c r="F19" s="316"/>
      <c r="G19" s="145"/>
      <c r="H19" s="145"/>
      <c r="I19" s="145"/>
      <c r="J19" s="251">
        <v>12848931736</v>
      </c>
      <c r="K19" s="145"/>
      <c r="L19" s="145"/>
      <c r="M19" s="251">
        <v>934625588</v>
      </c>
      <c r="N19" s="251">
        <f t="shared" si="0"/>
        <v>13783557324</v>
      </c>
    </row>
    <row r="20" spans="1:14" ht="54.95" customHeight="1">
      <c r="A20" s="303">
        <v>19</v>
      </c>
      <c r="B20" s="106" t="s">
        <v>10</v>
      </c>
      <c r="C20" s="107" t="s">
        <v>440</v>
      </c>
      <c r="D20" s="414" t="s">
        <v>421</v>
      </c>
      <c r="E20" s="257" t="s">
        <v>422</v>
      </c>
      <c r="F20" s="316"/>
      <c r="G20" s="145"/>
      <c r="H20" s="145"/>
      <c r="I20" s="145"/>
      <c r="J20" s="251">
        <v>1707430133</v>
      </c>
      <c r="K20" s="145"/>
      <c r="L20" s="145"/>
      <c r="M20" s="251">
        <v>188724096</v>
      </c>
      <c r="N20" s="251">
        <f t="shared" si="0"/>
        <v>1896154229</v>
      </c>
    </row>
    <row r="21" spans="1:14" ht="69.599999999999994" customHeight="1">
      <c r="A21" s="303">
        <v>20</v>
      </c>
      <c r="B21" s="106" t="s">
        <v>10</v>
      </c>
      <c r="C21" s="107" t="s">
        <v>440</v>
      </c>
      <c r="D21" s="414" t="s">
        <v>423</v>
      </c>
      <c r="E21" s="257" t="s">
        <v>424</v>
      </c>
      <c r="F21" s="316"/>
      <c r="G21" s="145"/>
      <c r="H21" s="145"/>
      <c r="I21" s="145"/>
      <c r="J21" s="251">
        <v>2294345776</v>
      </c>
      <c r="K21" s="145"/>
      <c r="L21" s="145"/>
      <c r="M21" s="251">
        <v>850179744</v>
      </c>
      <c r="N21" s="251">
        <f t="shared" si="0"/>
        <v>3144525520</v>
      </c>
    </row>
    <row r="22" spans="1:14" ht="54.95" customHeight="1">
      <c r="A22" s="303">
        <v>21</v>
      </c>
      <c r="B22" s="106" t="s">
        <v>10</v>
      </c>
      <c r="C22" s="107" t="s">
        <v>440</v>
      </c>
      <c r="D22" s="414" t="s">
        <v>425</v>
      </c>
      <c r="E22" s="257" t="s">
        <v>426</v>
      </c>
      <c r="F22" s="316"/>
      <c r="G22" s="145"/>
      <c r="H22" s="145"/>
      <c r="I22" s="145"/>
      <c r="J22" s="251">
        <v>2218862102</v>
      </c>
      <c r="K22" s="145"/>
      <c r="L22" s="145"/>
      <c r="M22" s="251">
        <v>22567488</v>
      </c>
      <c r="N22" s="251">
        <f t="shared" si="0"/>
        <v>2241429590</v>
      </c>
    </row>
    <row r="23" spans="1:14" ht="54.95" customHeight="1">
      <c r="A23" s="303">
        <v>22</v>
      </c>
      <c r="B23" s="106" t="s">
        <v>10</v>
      </c>
      <c r="C23" s="304"/>
      <c r="D23" s="414" t="s">
        <v>464</v>
      </c>
      <c r="E23" s="257" t="s">
        <v>427</v>
      </c>
      <c r="F23" s="316"/>
      <c r="G23" s="145"/>
      <c r="H23" s="145"/>
      <c r="I23" s="145"/>
      <c r="J23" s="251">
        <v>6974290175</v>
      </c>
      <c r="K23" s="145"/>
      <c r="L23" s="145"/>
      <c r="M23" s="251"/>
      <c r="N23" s="251">
        <f t="shared" si="0"/>
        <v>6974290175</v>
      </c>
    </row>
    <row r="24" spans="1:14" ht="74.45" customHeight="1">
      <c r="A24" s="303">
        <v>23</v>
      </c>
      <c r="B24" s="106" t="s">
        <v>10</v>
      </c>
      <c r="C24" s="304"/>
      <c r="D24" s="414" t="s">
        <v>465</v>
      </c>
      <c r="E24" s="257" t="s">
        <v>428</v>
      </c>
      <c r="F24" s="316"/>
      <c r="G24" s="145"/>
      <c r="H24" s="145"/>
      <c r="I24" s="145"/>
      <c r="J24" s="251">
        <v>3000000000</v>
      </c>
      <c r="K24" s="145"/>
      <c r="L24" s="145"/>
      <c r="M24" s="251"/>
      <c r="N24" s="251">
        <f t="shared" si="0"/>
        <v>3000000000</v>
      </c>
    </row>
    <row r="25" spans="1:14" ht="54.95" customHeight="1">
      <c r="A25" s="303">
        <v>24</v>
      </c>
      <c r="B25" s="106" t="s">
        <v>10</v>
      </c>
      <c r="C25" s="304"/>
      <c r="D25" s="414" t="s">
        <v>466</v>
      </c>
      <c r="E25" s="257" t="s">
        <v>429</v>
      </c>
      <c r="F25" s="316"/>
      <c r="G25" s="145"/>
      <c r="H25" s="145"/>
      <c r="I25" s="145"/>
      <c r="J25" s="251">
        <v>9999728428</v>
      </c>
      <c r="K25" s="145"/>
      <c r="L25" s="145"/>
      <c r="M25" s="251"/>
      <c r="N25" s="251">
        <f t="shared" si="0"/>
        <v>9999728428</v>
      </c>
    </row>
    <row r="26" spans="1:14" ht="54.95" customHeight="1">
      <c r="A26" s="303">
        <v>25</v>
      </c>
      <c r="B26" s="106" t="s">
        <v>10</v>
      </c>
      <c r="C26" s="304"/>
      <c r="D26" s="414" t="s">
        <v>467</v>
      </c>
      <c r="E26" s="257" t="s">
        <v>430</v>
      </c>
      <c r="F26" s="316"/>
      <c r="G26" s="145"/>
      <c r="H26" s="145"/>
      <c r="I26" s="145"/>
      <c r="J26" s="251">
        <v>2645464018</v>
      </c>
      <c r="K26" s="251"/>
      <c r="L26" s="145"/>
      <c r="M26" s="251"/>
      <c r="N26" s="251">
        <f t="shared" si="0"/>
        <v>2645464018</v>
      </c>
    </row>
    <row r="27" spans="1:14" ht="54.95" customHeight="1">
      <c r="A27" s="303">
        <v>26</v>
      </c>
      <c r="B27" s="317" t="s">
        <v>10</v>
      </c>
      <c r="C27" s="304"/>
      <c r="D27" s="305"/>
      <c r="E27" s="318" t="s">
        <v>442</v>
      </c>
      <c r="F27" s="251">
        <v>9652286163</v>
      </c>
      <c r="G27" s="145"/>
      <c r="H27" s="145"/>
      <c r="I27" s="145"/>
      <c r="J27" s="251"/>
      <c r="K27" s="251"/>
      <c r="L27" s="145"/>
      <c r="M27" s="251"/>
      <c r="N27" s="251">
        <f t="shared" si="0"/>
        <v>0</v>
      </c>
    </row>
    <row r="28" spans="1:14" ht="54.95" customHeight="1">
      <c r="A28" s="303">
        <v>27</v>
      </c>
      <c r="B28" s="317" t="s">
        <v>10</v>
      </c>
      <c r="C28" s="304"/>
      <c r="D28" s="305">
        <v>2020000050015</v>
      </c>
      <c r="E28" s="318" t="s">
        <v>394</v>
      </c>
      <c r="F28" s="251"/>
      <c r="G28" s="293">
        <v>7458735075</v>
      </c>
      <c r="H28" s="145"/>
      <c r="I28" s="145"/>
      <c r="J28" s="251"/>
      <c r="K28" s="251"/>
      <c r="L28" s="145"/>
      <c r="M28" s="251"/>
      <c r="N28" s="251">
        <f t="shared" si="0"/>
        <v>7458735075</v>
      </c>
    </row>
    <row r="29" spans="1:14" ht="54.95" customHeight="1">
      <c r="A29" s="303">
        <v>28</v>
      </c>
      <c r="B29" s="317" t="s">
        <v>10</v>
      </c>
      <c r="C29" s="304"/>
      <c r="D29" s="305">
        <v>2020000050013</v>
      </c>
      <c r="E29" s="305" t="s">
        <v>400</v>
      </c>
      <c r="F29" s="251"/>
      <c r="G29" s="372">
        <v>6788620869</v>
      </c>
      <c r="H29" s="145"/>
      <c r="I29" s="145"/>
      <c r="J29" s="251"/>
      <c r="K29" s="251"/>
      <c r="L29" s="145"/>
      <c r="M29" s="251"/>
      <c r="N29" s="251">
        <f t="shared" si="0"/>
        <v>6788620869</v>
      </c>
    </row>
    <row r="30" spans="1:14" ht="54.95" customHeight="1">
      <c r="A30" s="303">
        <v>29</v>
      </c>
      <c r="B30" s="317" t="s">
        <v>10</v>
      </c>
      <c r="C30" s="304"/>
      <c r="D30" s="305">
        <v>2019000050026</v>
      </c>
      <c r="E30" s="305" t="s">
        <v>349</v>
      </c>
      <c r="F30" s="251"/>
      <c r="G30" s="372"/>
      <c r="H30" s="145"/>
      <c r="I30" s="54">
        <v>6804242869</v>
      </c>
      <c r="J30" s="251"/>
      <c r="K30" s="251"/>
      <c r="L30" s="145"/>
      <c r="M30" s="50">
        <v>2952900607</v>
      </c>
      <c r="N30" s="251">
        <f t="shared" si="0"/>
        <v>9757143476</v>
      </c>
    </row>
    <row r="31" spans="1:14" ht="62.25" customHeight="1">
      <c r="A31" s="303">
        <v>30</v>
      </c>
      <c r="B31" s="317" t="s">
        <v>10</v>
      </c>
      <c r="C31" s="304"/>
      <c r="D31" s="414" t="s">
        <v>468</v>
      </c>
      <c r="E31" s="305" t="s">
        <v>469</v>
      </c>
      <c r="F31" s="251"/>
      <c r="G31" s="372"/>
      <c r="H31" s="145"/>
      <c r="I31" s="251"/>
      <c r="J31" s="54">
        <v>1241580000</v>
      </c>
      <c r="K31" s="251"/>
      <c r="L31" s="145"/>
      <c r="M31" s="252">
        <v>1190000000</v>
      </c>
      <c r="N31" s="251">
        <f t="shared" si="0"/>
        <v>2431580000</v>
      </c>
    </row>
    <row r="32" spans="1:14" ht="65.25" customHeight="1">
      <c r="A32" s="303">
        <v>31</v>
      </c>
      <c r="B32" s="317" t="s">
        <v>10</v>
      </c>
      <c r="C32" s="304"/>
      <c r="D32" s="414" t="s">
        <v>470</v>
      </c>
      <c r="E32" s="305" t="s">
        <v>471</v>
      </c>
      <c r="F32" s="251"/>
      <c r="G32" s="372"/>
      <c r="H32" s="145"/>
      <c r="I32" s="251"/>
      <c r="J32" s="54">
        <v>456816782.04000002</v>
      </c>
      <c r="K32" s="251"/>
      <c r="L32" s="145"/>
      <c r="M32" s="252"/>
      <c r="N32" s="251">
        <f t="shared" si="0"/>
        <v>456816782.04000002</v>
      </c>
    </row>
    <row r="33" spans="1:28" ht="63.75" customHeight="1">
      <c r="A33" s="303">
        <v>32</v>
      </c>
      <c r="B33" s="317" t="s">
        <v>10</v>
      </c>
      <c r="C33" s="304"/>
      <c r="D33" s="414" t="s">
        <v>472</v>
      </c>
      <c r="E33" s="305" t="s">
        <v>473</v>
      </c>
      <c r="F33" s="251"/>
      <c r="G33" s="372"/>
      <c r="H33" s="145"/>
      <c r="I33" s="251"/>
      <c r="J33" s="54">
        <v>2123613452</v>
      </c>
      <c r="K33" s="251"/>
      <c r="L33" s="145"/>
      <c r="M33" s="252"/>
      <c r="N33" s="251">
        <f t="shared" si="0"/>
        <v>2123613452</v>
      </c>
    </row>
    <row r="34" spans="1:28" ht="63.75" customHeight="1">
      <c r="A34" s="303"/>
      <c r="B34" s="317" t="s">
        <v>10</v>
      </c>
      <c r="C34" s="304"/>
      <c r="D34" s="414" t="s">
        <v>474</v>
      </c>
      <c r="E34" s="305" t="s">
        <v>475</v>
      </c>
      <c r="F34" s="251"/>
      <c r="G34" s="372"/>
      <c r="H34" s="145"/>
      <c r="I34" s="251"/>
      <c r="J34" s="54">
        <v>456845037.89999998</v>
      </c>
      <c r="K34" s="251"/>
      <c r="L34" s="145"/>
      <c r="M34" s="252"/>
      <c r="N34" s="251">
        <f t="shared" si="0"/>
        <v>456845037.89999998</v>
      </c>
    </row>
    <row r="35" spans="1:28" ht="63.75" customHeight="1">
      <c r="A35" s="303"/>
      <c r="B35" s="317" t="s">
        <v>10</v>
      </c>
      <c r="C35" s="304"/>
      <c r="D35" s="414" t="s">
        <v>476</v>
      </c>
      <c r="E35" s="305" t="s">
        <v>477</v>
      </c>
      <c r="F35" s="251"/>
      <c r="G35" s="372"/>
      <c r="H35" s="145"/>
      <c r="I35" s="251"/>
      <c r="J35" s="54">
        <v>228422518</v>
      </c>
      <c r="K35" s="251"/>
      <c r="L35" s="145"/>
      <c r="M35" s="252"/>
      <c r="N35" s="251">
        <f t="shared" si="0"/>
        <v>228422518</v>
      </c>
    </row>
    <row r="36" spans="1:28" ht="63.75" customHeight="1">
      <c r="A36" s="303"/>
      <c r="B36" s="317" t="s">
        <v>10</v>
      </c>
      <c r="C36" s="304"/>
      <c r="D36" s="414" t="s">
        <v>478</v>
      </c>
      <c r="E36" s="305" t="s">
        <v>479</v>
      </c>
      <c r="F36" s="251"/>
      <c r="G36" s="372"/>
      <c r="H36" s="145"/>
      <c r="I36" s="251"/>
      <c r="J36" s="54">
        <v>456845037.89999998</v>
      </c>
      <c r="K36" s="251"/>
      <c r="L36" s="145"/>
      <c r="M36" s="252"/>
      <c r="N36" s="251">
        <f t="shared" si="0"/>
        <v>456845037.89999998</v>
      </c>
    </row>
    <row r="37" spans="1:28" ht="63.75" customHeight="1">
      <c r="A37" s="303"/>
      <c r="B37" s="317" t="s">
        <v>10</v>
      </c>
      <c r="C37" s="304"/>
      <c r="D37" s="414" t="s">
        <v>480</v>
      </c>
      <c r="E37" s="305" t="s">
        <v>481</v>
      </c>
      <c r="F37" s="251"/>
      <c r="G37" s="372"/>
      <c r="H37" s="145"/>
      <c r="I37" s="251"/>
      <c r="J37" s="54">
        <v>456591011.73000002</v>
      </c>
      <c r="K37" s="251"/>
      <c r="L37" s="145"/>
      <c r="M37" s="252"/>
      <c r="N37" s="251">
        <f t="shared" si="0"/>
        <v>456591011.73000002</v>
      </c>
    </row>
    <row r="38" spans="1:28" ht="63.75" customHeight="1">
      <c r="A38" s="303"/>
      <c r="B38" s="317" t="s">
        <v>10</v>
      </c>
      <c r="C38" s="304"/>
      <c r="D38" s="414" t="s">
        <v>482</v>
      </c>
      <c r="E38" s="305" t="s">
        <v>483</v>
      </c>
      <c r="F38" s="251"/>
      <c r="G38" s="372"/>
      <c r="H38" s="145"/>
      <c r="I38" s="251"/>
      <c r="J38" s="54">
        <v>450500600</v>
      </c>
      <c r="K38" s="251"/>
      <c r="L38" s="145"/>
      <c r="M38" s="252"/>
      <c r="N38" s="251">
        <f t="shared" si="0"/>
        <v>450500600</v>
      </c>
    </row>
    <row r="39" spans="1:28" ht="63.75" customHeight="1">
      <c r="A39" s="303"/>
      <c r="B39" s="317" t="s">
        <v>10</v>
      </c>
      <c r="C39" s="304"/>
      <c r="D39" s="414" t="s">
        <v>484</v>
      </c>
      <c r="E39" s="305" t="s">
        <v>485</v>
      </c>
      <c r="F39" s="251"/>
      <c r="G39" s="372"/>
      <c r="H39" s="145"/>
      <c r="I39" s="251"/>
      <c r="J39" s="54">
        <v>456841764.01999998</v>
      </c>
      <c r="K39" s="251"/>
      <c r="L39" s="145"/>
      <c r="M39" s="252"/>
      <c r="N39" s="251">
        <f t="shared" si="0"/>
        <v>456841764.01999998</v>
      </c>
    </row>
    <row r="40" spans="1:28" ht="63.75" customHeight="1">
      <c r="A40" s="303"/>
      <c r="B40" s="317" t="s">
        <v>10</v>
      </c>
      <c r="C40" s="304"/>
      <c r="D40" s="290">
        <v>2020000050037</v>
      </c>
      <c r="E40" s="289" t="s">
        <v>393</v>
      </c>
      <c r="F40" s="251"/>
      <c r="G40" s="254">
        <v>10093038848</v>
      </c>
      <c r="H40" s="145"/>
      <c r="I40" s="251"/>
      <c r="J40" s="251"/>
      <c r="K40" s="251"/>
      <c r="L40" s="145"/>
      <c r="M40" s="252"/>
      <c r="N40" s="251">
        <f t="shared" si="0"/>
        <v>10093038848</v>
      </c>
    </row>
    <row r="41" spans="1:28" ht="63.75" customHeight="1">
      <c r="A41" s="303"/>
      <c r="B41" s="317" t="s">
        <v>10</v>
      </c>
      <c r="C41" s="304"/>
      <c r="D41" s="290">
        <v>2020000050044</v>
      </c>
      <c r="E41" s="289" t="s">
        <v>399</v>
      </c>
      <c r="F41" s="251"/>
      <c r="G41" s="254">
        <v>10411761978</v>
      </c>
      <c r="H41" s="145"/>
      <c r="I41" s="291">
        <v>4543037251</v>
      </c>
      <c r="J41" s="251"/>
      <c r="K41" s="251"/>
      <c r="L41" s="145"/>
      <c r="M41" s="252"/>
      <c r="N41" s="251">
        <f t="shared" si="0"/>
        <v>14954799229</v>
      </c>
      <c r="O41" s="13">
        <f>+N41</f>
        <v>14954799229</v>
      </c>
    </row>
    <row r="42" spans="1:28" s="13" customFormat="1" ht="16.5" thickBot="1">
      <c r="A42" s="259"/>
      <c r="B42" s="259"/>
      <c r="C42" s="259"/>
      <c r="D42" s="259"/>
      <c r="E42" s="259"/>
      <c r="F42" s="123">
        <f>SUM(F2:F30)</f>
        <v>9652286163</v>
      </c>
      <c r="G42" s="123">
        <f>SUM(G2:G41)</f>
        <v>64262987912</v>
      </c>
      <c r="H42" s="123">
        <f>SUM(H2:H29)</f>
        <v>0</v>
      </c>
      <c r="I42" s="123">
        <f>SUM(I2:I41)</f>
        <v>56930291774</v>
      </c>
      <c r="J42" s="123">
        <f>SUM(J2:J39)</f>
        <v>63805973532.770004</v>
      </c>
      <c r="K42" s="123">
        <f>SUM(K2:K27)</f>
        <v>0</v>
      </c>
      <c r="L42" s="123">
        <f>SUM(L2:L27)</f>
        <v>0</v>
      </c>
      <c r="M42" s="123">
        <f>SUM(M2:M30)</f>
        <v>19552285788.949997</v>
      </c>
      <c r="N42" s="123">
        <f>SUM(N2:N41)</f>
        <v>205741539007.72</v>
      </c>
      <c r="S42" s="8"/>
      <c r="T42" s="8"/>
      <c r="U42" s="8"/>
      <c r="V42" s="8"/>
      <c r="W42" s="8"/>
      <c r="X42" s="8"/>
      <c r="Y42" s="8"/>
      <c r="Z42" s="8"/>
      <c r="AA42" s="8"/>
      <c r="AB42" s="8"/>
    </row>
    <row r="44" spans="1:28" s="13" customFormat="1">
      <c r="A44" s="8"/>
      <c r="B44" s="8"/>
      <c r="C44" s="8"/>
      <c r="D44" s="8"/>
      <c r="E44" s="12"/>
      <c r="F44" s="12"/>
      <c r="G44" s="185"/>
      <c r="H44" s="8"/>
      <c r="I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3" customFormat="1">
      <c r="A45" s="8"/>
      <c r="B45" s="8"/>
      <c r="C45" s="8"/>
      <c r="D45" s="8"/>
      <c r="E45" s="12">
        <v>2020</v>
      </c>
      <c r="F45" s="206">
        <f>+F42+G42+I42</f>
        <v>130845565849</v>
      </c>
      <c r="G45" s="402"/>
      <c r="H45" s="8"/>
      <c r="I45" s="185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>
      <c r="E46" s="206">
        <v>2021</v>
      </c>
      <c r="F46" s="633">
        <v>64504105870</v>
      </c>
      <c r="G46" s="402"/>
    </row>
    <row r="47" spans="1:28" s="13" customFormat="1" ht="15.75">
      <c r="A47" s="8"/>
      <c r="B47" s="8"/>
      <c r="C47" s="367" t="s">
        <v>275</v>
      </c>
      <c r="D47" s="367" t="s">
        <v>181</v>
      </c>
      <c r="E47" s="12">
        <v>2022</v>
      </c>
      <c r="F47" s="13">
        <v>12372507277</v>
      </c>
      <c r="G47" s="185"/>
      <c r="H47" s="185"/>
      <c r="I47" s="402">
        <v>25179132781.18</v>
      </c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>
      <c r="C48" s="366" t="s">
        <v>235</v>
      </c>
      <c r="D48" s="340">
        <f>+G42</f>
        <v>64262987912</v>
      </c>
      <c r="F48" s="661">
        <f>+F45+F46+F47</f>
        <v>207722178996</v>
      </c>
      <c r="I48" s="403">
        <f>+J42+I47</f>
        <v>88985106313.950012</v>
      </c>
    </row>
    <row r="49" spans="1:28" s="13" customFormat="1">
      <c r="A49" s="8"/>
      <c r="B49" s="8"/>
      <c r="C49" s="366" t="s">
        <v>150</v>
      </c>
      <c r="D49" s="340">
        <f>+I42</f>
        <v>56930291774</v>
      </c>
      <c r="E49" s="206"/>
      <c r="F49" s="206"/>
      <c r="G49" s="8"/>
      <c r="H49" s="8"/>
      <c r="I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3" customFormat="1" ht="15.75">
      <c r="A50" s="8"/>
      <c r="B50" s="8"/>
      <c r="C50" s="367" t="s">
        <v>190</v>
      </c>
      <c r="D50" s="368">
        <f>+D48+D49</f>
        <v>121193279686</v>
      </c>
      <c r="E50" s="204"/>
      <c r="F50" s="204"/>
      <c r="G50" s="8"/>
      <c r="H50" s="8"/>
      <c r="I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2" spans="1:28">
      <c r="C52" s="366" t="s">
        <v>237</v>
      </c>
      <c r="D52" s="340">
        <f>+J42</f>
        <v>63805973532.770004</v>
      </c>
      <c r="E52" s="203"/>
      <c r="F52" s="203"/>
    </row>
    <row r="53" spans="1:28" ht="15.75">
      <c r="C53" s="367" t="s">
        <v>190</v>
      </c>
      <c r="D53" s="368">
        <f>+D52</f>
        <v>63805973532.770004</v>
      </c>
      <c r="G53" s="402">
        <v>60981030645</v>
      </c>
    </row>
    <row r="54" spans="1:28">
      <c r="G54" s="402">
        <v>56930291774</v>
      </c>
    </row>
    <row r="55" spans="1:28">
      <c r="G55" s="403">
        <f>+G53+G54</f>
        <v>117911322419</v>
      </c>
    </row>
    <row r="58" spans="1:28">
      <c r="D58" s="365"/>
    </row>
    <row r="86" ht="30" customHeight="1"/>
    <row r="87" ht="30" customHeight="1"/>
    <row r="88" ht="30" customHeight="1"/>
    <row r="89" ht="30" customHeight="1"/>
    <row r="90" ht="15" customHeight="1"/>
  </sheetData>
  <autoFilter ref="A1:AB42" xr:uid="{00000000-0009-0000-0000-00000B000000}"/>
  <pageMargins left="0.25" right="0.25" top="0.41" bottom="0.39" header="0.3" footer="0.3"/>
  <pageSetup scale="2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44"/>
  <sheetViews>
    <sheetView zoomScale="70" zoomScaleNormal="70" workbookViewId="0">
      <selection activeCell="C13" sqref="C13"/>
    </sheetView>
  </sheetViews>
  <sheetFormatPr baseColWidth="10" defaultColWidth="11.42578125" defaultRowHeight="18"/>
  <cols>
    <col min="1" max="1" width="36.5703125" style="81" customWidth="1"/>
    <col min="2" max="2" width="34.140625" style="81" bestFit="1" customWidth="1"/>
    <col min="3" max="3" width="29.85546875" style="81" customWidth="1"/>
    <col min="4" max="4" width="36.5703125" style="81" customWidth="1"/>
    <col min="5" max="5" width="34" style="81" customWidth="1"/>
    <col min="6" max="7" width="38.85546875" style="81" customWidth="1"/>
    <col min="8" max="8" width="30.5703125" style="81" bestFit="1" customWidth="1"/>
    <col min="9" max="9" width="40.28515625" style="81" customWidth="1"/>
    <col min="10" max="10" width="28" style="81" bestFit="1" customWidth="1"/>
    <col min="11" max="11" width="15.42578125" style="81" customWidth="1"/>
    <col min="12" max="16384" width="11.42578125" style="81"/>
  </cols>
  <sheetData>
    <row r="1" spans="1:12" ht="18.75" thickBot="1"/>
    <row r="2" spans="1:12" ht="54">
      <c r="A2" s="381" t="s">
        <v>178</v>
      </c>
      <c r="B2" s="773" t="s">
        <v>490</v>
      </c>
      <c r="C2" s="774"/>
      <c r="D2" s="774"/>
      <c r="E2" s="774"/>
      <c r="F2" s="775"/>
      <c r="G2" s="468"/>
    </row>
    <row r="3" spans="1:12">
      <c r="A3" s="382" t="s">
        <v>179</v>
      </c>
      <c r="B3" s="388" t="s">
        <v>441</v>
      </c>
      <c r="C3" s="389" t="s">
        <v>539</v>
      </c>
      <c r="D3" s="390" t="s">
        <v>383</v>
      </c>
      <c r="E3" s="390" t="s">
        <v>529</v>
      </c>
      <c r="F3" s="391" t="s">
        <v>540</v>
      </c>
      <c r="G3" s="469"/>
    </row>
    <row r="4" spans="1:12">
      <c r="A4" s="383" t="s">
        <v>184</v>
      </c>
      <c r="B4" s="494">
        <v>3428926954.7581501</v>
      </c>
      <c r="C4" s="229">
        <f>+' PROYECTOS APROBADOS 2021'!G9</f>
        <v>1957420099</v>
      </c>
      <c r="D4" s="230">
        <f t="shared" ref="D4:D13" si="0">+B4-C4</f>
        <v>1471506855.7581501</v>
      </c>
      <c r="E4" s="227">
        <f>+'INICIATIVAS  VERIFICACIÓN 21-22'!H18</f>
        <v>2000000000</v>
      </c>
      <c r="F4" s="498">
        <f t="shared" ref="F4:F9" si="1">+D4-E4</f>
        <v>-528493144.2418499</v>
      </c>
      <c r="G4" s="470"/>
      <c r="H4" s="91"/>
      <c r="K4" s="772" t="s">
        <v>548</v>
      </c>
      <c r="L4" s="772"/>
    </row>
    <row r="5" spans="1:12" ht="47.45" customHeight="1">
      <c r="A5" s="383" t="s">
        <v>543</v>
      </c>
      <c r="B5" s="228">
        <v>123780406795.105</v>
      </c>
      <c r="C5" s="228">
        <f>+' PROYECTOS APROBADOS 2021'!H9</f>
        <v>40385971075.557388</v>
      </c>
      <c r="D5" s="228">
        <f t="shared" si="0"/>
        <v>83394435719.547607</v>
      </c>
      <c r="E5" s="228">
        <f>+'INICIATIVAS  VERIFICACIÓN 21-22'!I18</f>
        <v>71747379777</v>
      </c>
      <c r="F5" s="492">
        <f t="shared" si="1"/>
        <v>11647055942.547607</v>
      </c>
      <c r="G5" s="474" t="s">
        <v>546</v>
      </c>
      <c r="H5" s="475">
        <f>+B5+B4+B6+B7+B9</f>
        <v>144052099388.30576</v>
      </c>
      <c r="I5" s="476" t="s">
        <v>545</v>
      </c>
      <c r="J5" s="475">
        <f>+H5-C5</f>
        <v>103666128312.74837</v>
      </c>
      <c r="K5" s="776">
        <f>+J6-J5</f>
        <v>885569939.69424438</v>
      </c>
      <c r="L5" s="776"/>
    </row>
    <row r="6" spans="1:12" ht="21" customHeight="1">
      <c r="A6" s="384" t="s">
        <v>496</v>
      </c>
      <c r="B6" s="495">
        <v>5352174918.0457153</v>
      </c>
      <c r="C6" s="232">
        <f>+' PROYECTOS APROBADOS 2021'!K9</f>
        <v>5352174918.0457153</v>
      </c>
      <c r="D6" s="233">
        <f t="shared" si="0"/>
        <v>0</v>
      </c>
      <c r="E6" s="227">
        <f>+'INICIATIVAS  VERIFICACIÓN 21-22'!M21</f>
        <v>0</v>
      </c>
      <c r="F6" s="438">
        <f t="shared" si="1"/>
        <v>0</v>
      </c>
      <c r="G6" s="473" t="s">
        <v>547</v>
      </c>
      <c r="H6" s="475">
        <v>144937669328</v>
      </c>
      <c r="I6" s="477" t="s">
        <v>544</v>
      </c>
      <c r="J6" s="475">
        <f>+H6-C5</f>
        <v>104551698252.44261</v>
      </c>
      <c r="K6" s="776"/>
      <c r="L6" s="776"/>
    </row>
    <row r="7" spans="1:12">
      <c r="A7" s="385" t="s">
        <v>495</v>
      </c>
      <c r="B7" s="495">
        <f>+'SALDOS 2020'!G6</f>
        <v>4262987277.3968964</v>
      </c>
      <c r="C7" s="232">
        <f>+' PROYECTOS APROBADOS 2021'!M9</f>
        <v>4262987277.3968964</v>
      </c>
      <c r="D7" s="233">
        <f t="shared" si="0"/>
        <v>0</v>
      </c>
      <c r="E7" s="227">
        <f>+'INICIATIVAS  VERIFICACIÓN 21-22'!N21</f>
        <v>0</v>
      </c>
      <c r="F7" s="438">
        <f t="shared" si="1"/>
        <v>0</v>
      </c>
      <c r="G7" s="470"/>
      <c r="H7" s="105"/>
    </row>
    <row r="8" spans="1:12" ht="36.6" customHeight="1">
      <c r="A8" s="384" t="s">
        <v>517</v>
      </c>
      <c r="B8" s="231">
        <v>6928967103</v>
      </c>
      <c r="C8" s="437">
        <f>+' PROYECTOS APROBADOS 2021'!J9</f>
        <v>6928967103</v>
      </c>
      <c r="D8" s="233">
        <f t="shared" si="0"/>
        <v>0</v>
      </c>
      <c r="E8" s="432">
        <f>+'INICIATIVAS  VERIFICACIÓN 21-22'!K18</f>
        <v>0</v>
      </c>
      <c r="F8" s="438">
        <f t="shared" si="1"/>
        <v>0</v>
      </c>
      <c r="G8" s="470"/>
      <c r="H8" s="105"/>
    </row>
    <row r="9" spans="1:12">
      <c r="A9" s="386" t="s">
        <v>187</v>
      </c>
      <c r="B9" s="231">
        <f>+'SALDOS 2020'!G7</f>
        <v>7227603443</v>
      </c>
      <c r="C9" s="232">
        <f>+' PROYECTOS APROBADOS 2021'!L9</f>
        <v>0</v>
      </c>
      <c r="D9" s="233">
        <f t="shared" si="0"/>
        <v>7227603443</v>
      </c>
      <c r="E9" s="234">
        <f>+'INICIATIVAS  VERIFICACIÓN 21-22'!O21</f>
        <v>3500000000</v>
      </c>
      <c r="F9" s="438">
        <f t="shared" si="1"/>
        <v>3727603443</v>
      </c>
      <c r="G9" s="470"/>
      <c r="H9" s="105"/>
    </row>
    <row r="10" spans="1:12" ht="36" hidden="1">
      <c r="A10" s="384" t="s">
        <v>219</v>
      </c>
      <c r="B10" s="231">
        <v>0</v>
      </c>
      <c r="C10" s="231">
        <v>0</v>
      </c>
      <c r="D10" s="233">
        <f t="shared" si="0"/>
        <v>0</v>
      </c>
      <c r="E10" s="236">
        <f>+'INICIATIVAS  VERIFICACIÓN 21-22'!P18</f>
        <v>0</v>
      </c>
      <c r="F10" s="438">
        <f>+D10-E10</f>
        <v>0</v>
      </c>
      <c r="G10" s="470"/>
      <c r="H10" s="105"/>
    </row>
    <row r="11" spans="1:12">
      <c r="A11" s="384" t="s">
        <v>188</v>
      </c>
      <c r="B11" s="231">
        <f>+B20</f>
        <v>16659605856</v>
      </c>
      <c r="C11" s="231">
        <f>+' PROYECTOS APROBADOS 2021'!N9</f>
        <v>0</v>
      </c>
      <c r="D11" s="233">
        <f t="shared" si="0"/>
        <v>16659605856</v>
      </c>
      <c r="E11" s="236">
        <f>+'INICIATIVAS  VERIFICACIÓN 21-22'!Q21</f>
        <v>0</v>
      </c>
      <c r="F11" s="438">
        <f>+D11-E11</f>
        <v>16659605856</v>
      </c>
      <c r="G11" s="470"/>
      <c r="H11" s="105"/>
    </row>
    <row r="12" spans="1:12">
      <c r="A12" s="384" t="s">
        <v>497</v>
      </c>
      <c r="B12" s="377">
        <f>+B21</f>
        <v>4164901464</v>
      </c>
      <c r="C12" s="377">
        <f>+' PROYECTOS APROBADOS 2021'!O9</f>
        <v>0</v>
      </c>
      <c r="D12" s="378">
        <f t="shared" si="0"/>
        <v>4164901464</v>
      </c>
      <c r="E12" s="379"/>
      <c r="F12" s="438">
        <f>+D12-E12</f>
        <v>4164901464</v>
      </c>
      <c r="G12" s="470"/>
      <c r="H12" s="105"/>
    </row>
    <row r="13" spans="1:12" ht="27.6" customHeight="1">
      <c r="A13" s="384" t="s">
        <v>511</v>
      </c>
      <c r="B13" s="235">
        <v>64399390452</v>
      </c>
      <c r="C13" s="231">
        <f>+' PROYECTOS APROBADOS 2021'!I9</f>
        <v>5616585397</v>
      </c>
      <c r="D13" s="233">
        <f t="shared" si="0"/>
        <v>58782805055</v>
      </c>
      <c r="E13" s="236">
        <f>+'INICIATIVAS  VERIFICACIÓN 21-22'!J21</f>
        <v>57520734836</v>
      </c>
      <c r="F13" s="478">
        <f>+D13-E13</f>
        <v>1262070219</v>
      </c>
      <c r="G13" s="471"/>
    </row>
    <row r="14" spans="1:12" ht="18.75" thickBot="1">
      <c r="A14" s="387" t="s">
        <v>190</v>
      </c>
      <c r="B14" s="392">
        <f>SUM(B4:B13)</f>
        <v>236204964263.30576</v>
      </c>
      <c r="C14" s="392">
        <f>SUM(C4:C13)</f>
        <v>64504105870</v>
      </c>
      <c r="D14" s="392">
        <f>SUM(D4:D13)</f>
        <v>171700858393.30576</v>
      </c>
      <c r="E14" s="392">
        <f>SUM(E4:E13)</f>
        <v>134768114613</v>
      </c>
      <c r="F14" s="392">
        <f>SUM(F4:F13)</f>
        <v>36932743780.305756</v>
      </c>
      <c r="G14" s="472"/>
      <c r="H14" s="105"/>
    </row>
    <row r="15" spans="1:12">
      <c r="B15" s="105"/>
      <c r="C15" s="153"/>
      <c r="D15" s="82"/>
      <c r="F15" s="82"/>
      <c r="G15" s="82"/>
      <c r="H15" s="105"/>
    </row>
    <row r="16" spans="1:12">
      <c r="B16" s="520"/>
      <c r="C16" s="153"/>
      <c r="D16" s="705"/>
      <c r="E16" s="328"/>
      <c r="F16" s="82"/>
    </row>
    <row r="17" spans="1:10" ht="36">
      <c r="A17" s="393" t="s">
        <v>503</v>
      </c>
      <c r="B17" s="394" t="s">
        <v>494</v>
      </c>
      <c r="C17" s="703"/>
    </row>
    <row r="18" spans="1:10">
      <c r="A18" s="335" t="s">
        <v>360</v>
      </c>
      <c r="B18" s="380">
        <v>5649715687</v>
      </c>
      <c r="C18" s="704"/>
      <c r="F18" s="153"/>
      <c r="G18" s="314"/>
      <c r="H18" s="153"/>
      <c r="I18" s="153"/>
    </row>
    <row r="19" spans="1:10">
      <c r="A19" s="335" t="s">
        <v>491</v>
      </c>
      <c r="B19" s="380">
        <v>93007980371</v>
      </c>
      <c r="C19" s="704"/>
    </row>
    <row r="20" spans="1:10">
      <c r="A20" s="335" t="s">
        <v>493</v>
      </c>
      <c r="B20" s="380">
        <v>16659605856</v>
      </c>
      <c r="C20" s="708"/>
      <c r="F20" s="418"/>
      <c r="G20" s="440"/>
    </row>
    <row r="21" spans="1:10">
      <c r="A21" s="335" t="s">
        <v>492</v>
      </c>
      <c r="B21" s="380">
        <v>4164901464</v>
      </c>
      <c r="C21" s="708"/>
      <c r="D21" s="706"/>
      <c r="E21" s="707"/>
      <c r="F21" s="314"/>
      <c r="G21" s="314"/>
    </row>
    <row r="22" spans="1:10" ht="18.75" thickBot="1">
      <c r="B22" s="105"/>
      <c r="C22" s="153"/>
      <c r="D22" s="420"/>
      <c r="F22" s="572"/>
    </row>
    <row r="23" spans="1:10" ht="41.1" customHeight="1">
      <c r="A23" s="395" t="s">
        <v>498</v>
      </c>
      <c r="B23" s="327">
        <f>+D5</f>
        <v>83394435719.547607</v>
      </c>
      <c r="C23" s="154"/>
      <c r="D23" s="422"/>
      <c r="E23" s="477"/>
      <c r="F23" s="415"/>
      <c r="G23" s="415"/>
      <c r="H23" s="415"/>
    </row>
    <row r="24" spans="1:10" ht="40.5" hidden="1" customHeight="1" thickBot="1">
      <c r="A24" s="249" t="s">
        <v>338</v>
      </c>
      <c r="B24" s="159">
        <f>+F11</f>
        <v>16659605856</v>
      </c>
      <c r="C24" s="92"/>
      <c r="D24" s="92"/>
    </row>
    <row r="25" spans="1:10" ht="18.75" thickBot="1">
      <c r="B25" s="140"/>
      <c r="C25" s="92"/>
      <c r="D25" s="423"/>
      <c r="E25" s="572"/>
      <c r="F25" s="314"/>
      <c r="G25" s="187"/>
      <c r="H25" s="314"/>
    </row>
    <row r="26" spans="1:10" ht="45.6" customHeight="1">
      <c r="A26" s="395" t="s">
        <v>499</v>
      </c>
      <c r="B26" s="327">
        <f>+D6+D7+D9</f>
        <v>7227603443</v>
      </c>
      <c r="C26" s="82"/>
      <c r="D26" s="424"/>
      <c r="E26" s="477"/>
      <c r="F26" s="575"/>
      <c r="G26" s="575"/>
      <c r="H26" s="577"/>
      <c r="J26" s="425">
        <f>+J20+J22+J23+J24</f>
        <v>0</v>
      </c>
    </row>
    <row r="27" spans="1:10" ht="18.75" thickBot="1">
      <c r="B27" s="155"/>
      <c r="C27" s="153"/>
      <c r="D27" s="283"/>
      <c r="E27" s="574"/>
      <c r="F27" s="575"/>
      <c r="G27" s="575"/>
      <c r="H27" s="578"/>
    </row>
    <row r="28" spans="1:10" ht="36">
      <c r="A28" s="395" t="s">
        <v>500</v>
      </c>
      <c r="B28" s="327">
        <f>+D11+D12</f>
        <v>20824507320</v>
      </c>
      <c r="D28" s="253"/>
      <c r="E28" s="477"/>
      <c r="F28" s="576"/>
      <c r="G28" s="576"/>
      <c r="H28" s="416"/>
    </row>
    <row r="29" spans="1:10">
      <c r="B29" s="153"/>
      <c r="C29" s="772"/>
      <c r="D29" s="772"/>
      <c r="F29" s="369"/>
      <c r="G29" s="369"/>
    </row>
    <row r="30" spans="1:10">
      <c r="D30" s="369"/>
      <c r="E30" s="375"/>
      <c r="F30" s="369"/>
      <c r="G30" s="369"/>
    </row>
    <row r="31" spans="1:10">
      <c r="E31" s="375"/>
      <c r="F31" s="105"/>
      <c r="G31" s="105"/>
    </row>
    <row r="32" spans="1:10">
      <c r="E32" s="375"/>
    </row>
    <row r="33" spans="3:5">
      <c r="E33" s="375"/>
    </row>
    <row r="34" spans="3:5">
      <c r="E34" s="375"/>
    </row>
    <row r="36" spans="3:5">
      <c r="E36" s="376"/>
    </row>
    <row r="40" spans="3:5">
      <c r="E40" s="375"/>
    </row>
    <row r="41" spans="3:5">
      <c r="E41" s="375"/>
    </row>
    <row r="42" spans="3:5">
      <c r="C42" s="374"/>
      <c r="D42" s="82"/>
      <c r="E42" s="375"/>
    </row>
    <row r="44" spans="3:5">
      <c r="C44" s="768"/>
      <c r="D44" s="768"/>
      <c r="E44" s="376"/>
    </row>
  </sheetData>
  <mergeCells count="5">
    <mergeCell ref="B2:F2"/>
    <mergeCell ref="C29:D29"/>
    <mergeCell ref="C44:D44"/>
    <mergeCell ref="K4:L4"/>
    <mergeCell ref="K5:L6"/>
  </mergeCells>
  <pageMargins left="0.25" right="0.25" top="0.75" bottom="0.75" header="0.3" footer="0.3"/>
  <pageSetup scale="63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H57"/>
  <sheetViews>
    <sheetView topLeftCell="H5" zoomScale="90" zoomScaleNormal="90" workbookViewId="0">
      <selection activeCell="K9" sqref="K9"/>
    </sheetView>
  </sheetViews>
  <sheetFormatPr baseColWidth="10" defaultColWidth="11.42578125" defaultRowHeight="15"/>
  <cols>
    <col min="1" max="1" width="9.140625" style="8" bestFit="1" customWidth="1"/>
    <col min="2" max="2" width="18.5703125" style="8" customWidth="1"/>
    <col min="3" max="4" width="13.42578125" style="8" customWidth="1"/>
    <col min="5" max="5" width="21.7109375" style="8" customWidth="1"/>
    <col min="6" max="6" width="50.140625" style="12" customWidth="1"/>
    <col min="7" max="10" width="25.7109375" style="12" customWidth="1"/>
    <col min="11" max="11" width="26.140625" style="8" bestFit="1" customWidth="1"/>
    <col min="12" max="12" width="20.42578125" style="8" customWidth="1"/>
    <col min="13" max="13" width="25.85546875" style="8" customWidth="1"/>
    <col min="14" max="14" width="26.28515625" style="13" bestFit="1" customWidth="1"/>
    <col min="15" max="15" width="26.28515625" style="13" customWidth="1"/>
    <col min="16" max="18" width="24.5703125" style="13" customWidth="1"/>
    <col min="19" max="19" width="24.7109375" style="13" bestFit="1" customWidth="1"/>
    <col min="20" max="20" width="24.7109375" style="13" customWidth="1"/>
    <col min="21" max="21" width="24.5703125" style="13" customWidth="1"/>
    <col min="22" max="22" width="23.42578125" style="13" customWidth="1"/>
    <col min="23" max="23" width="28.5703125" style="13" customWidth="1"/>
    <col min="24" max="24" width="23.42578125" style="13" customWidth="1"/>
    <col min="25" max="25" width="19.28515625" style="8" hidden="1" customWidth="1"/>
    <col min="26" max="26" width="25.5703125" style="8" customWidth="1"/>
    <col min="27" max="27" width="21.7109375" style="8" hidden="1" customWidth="1"/>
    <col min="28" max="28" width="21.28515625" style="8" bestFit="1" customWidth="1"/>
    <col min="29" max="29" width="14.42578125" style="8" customWidth="1"/>
    <col min="30" max="16384" width="11.42578125" style="8"/>
  </cols>
  <sheetData>
    <row r="1" spans="1:34" ht="68.45" customHeight="1">
      <c r="A1" s="479" t="s">
        <v>232</v>
      </c>
      <c r="B1" s="480" t="s">
        <v>152</v>
      </c>
      <c r="C1" s="481" t="s">
        <v>233</v>
      </c>
      <c r="D1" s="481" t="s">
        <v>551</v>
      </c>
      <c r="E1" s="480" t="s">
        <v>156</v>
      </c>
      <c r="F1" s="480" t="s">
        <v>234</v>
      </c>
      <c r="G1" s="480" t="s">
        <v>360</v>
      </c>
      <c r="H1" s="480" t="s">
        <v>505</v>
      </c>
      <c r="I1" s="481" t="s">
        <v>537</v>
      </c>
      <c r="J1" s="481" t="s">
        <v>574</v>
      </c>
      <c r="K1" s="482" t="s">
        <v>235</v>
      </c>
      <c r="L1" s="483" t="s">
        <v>236</v>
      </c>
      <c r="M1" s="482" t="s">
        <v>150</v>
      </c>
      <c r="N1" s="482" t="s">
        <v>237</v>
      </c>
      <c r="O1" s="482" t="s">
        <v>501</v>
      </c>
      <c r="P1" s="482" t="s">
        <v>238</v>
      </c>
      <c r="Q1" s="482" t="s">
        <v>189</v>
      </c>
      <c r="R1" s="482" t="s">
        <v>239</v>
      </c>
      <c r="S1" s="545" t="s">
        <v>240</v>
      </c>
      <c r="T1" s="548" t="s">
        <v>610</v>
      </c>
      <c r="U1" s="548" t="s">
        <v>608</v>
      </c>
      <c r="V1" s="548" t="s">
        <v>609</v>
      </c>
      <c r="W1" s="548" t="s">
        <v>611</v>
      </c>
      <c r="X1" s="548" t="s">
        <v>612</v>
      </c>
      <c r="Y1" s="549"/>
      <c r="Z1" s="550" t="s">
        <v>613</v>
      </c>
      <c r="AA1" s="544"/>
    </row>
    <row r="2" spans="1:34" ht="33.950000000000003" customHeight="1">
      <c r="A2" s="124">
        <v>1</v>
      </c>
      <c r="B2" s="484" t="s">
        <v>102</v>
      </c>
      <c r="C2" s="485">
        <v>2021</v>
      </c>
      <c r="D2" s="485" t="s">
        <v>555</v>
      </c>
      <c r="E2" s="486">
        <v>2021004250258</v>
      </c>
      <c r="F2" s="315" t="s">
        <v>504</v>
      </c>
      <c r="G2" s="315"/>
      <c r="H2" s="692">
        <v>16289941201</v>
      </c>
      <c r="I2" s="417"/>
      <c r="J2" s="417"/>
      <c r="K2" s="488"/>
      <c r="L2" s="489"/>
      <c r="M2" s="489"/>
      <c r="N2" s="396"/>
      <c r="O2" s="396"/>
      <c r="P2" s="396"/>
      <c r="Q2" s="396"/>
      <c r="R2" s="489"/>
      <c r="S2" s="546">
        <f>+H2</f>
        <v>16289941201</v>
      </c>
      <c r="T2" s="489"/>
      <c r="U2" s="551"/>
      <c r="V2" s="551"/>
      <c r="W2" s="551"/>
      <c r="X2" s="551"/>
      <c r="Y2" s="365"/>
      <c r="Z2" s="365"/>
    </row>
    <row r="3" spans="1:34" ht="36" customHeight="1">
      <c r="A3" s="124">
        <v>2</v>
      </c>
      <c r="B3" s="484" t="s">
        <v>102</v>
      </c>
      <c r="C3" s="485">
        <v>2021</v>
      </c>
      <c r="D3" s="485" t="s">
        <v>552</v>
      </c>
      <c r="E3" s="486" t="s">
        <v>549</v>
      </c>
      <c r="F3" s="315" t="s">
        <v>550</v>
      </c>
      <c r="G3" s="490">
        <v>1957420099</v>
      </c>
      <c r="H3" s="692">
        <v>8685355851</v>
      </c>
      <c r="I3" s="315"/>
      <c r="J3" s="315"/>
      <c r="K3" s="488"/>
      <c r="L3" s="491"/>
      <c r="M3" s="396"/>
      <c r="N3" s="396"/>
      <c r="O3" s="396"/>
      <c r="P3" s="396"/>
      <c r="Q3" s="396"/>
      <c r="R3" s="489"/>
      <c r="S3" s="546">
        <f>+G3+H3</f>
        <v>10642775950</v>
      </c>
      <c r="T3" s="489"/>
      <c r="U3" s="365"/>
      <c r="V3" s="365"/>
      <c r="W3" s="365"/>
      <c r="X3" s="551"/>
      <c r="Y3" s="365"/>
      <c r="Z3" s="365"/>
    </row>
    <row r="4" spans="1:34" ht="61.5" customHeight="1">
      <c r="A4" s="124">
        <v>3</v>
      </c>
      <c r="B4" s="484" t="s">
        <v>102</v>
      </c>
      <c r="C4" s="485">
        <v>2021</v>
      </c>
      <c r="D4" s="485" t="s">
        <v>553</v>
      </c>
      <c r="E4" s="486">
        <v>2018000050050</v>
      </c>
      <c r="F4" s="315" t="s">
        <v>723</v>
      </c>
      <c r="G4" s="315"/>
      <c r="H4" s="315"/>
      <c r="I4" s="488">
        <v>5616585397</v>
      </c>
      <c r="J4" s="488"/>
      <c r="K4" s="488"/>
      <c r="L4" s="491"/>
      <c r="M4" s="488"/>
      <c r="N4" s="396"/>
      <c r="O4" s="396"/>
      <c r="P4" s="396"/>
      <c r="Q4" s="396"/>
      <c r="R4" s="489"/>
      <c r="S4" s="546">
        <f>+I4</f>
        <v>5616585397</v>
      </c>
      <c r="T4" s="489"/>
      <c r="U4" s="365"/>
      <c r="V4" s="365"/>
      <c r="W4" s="365"/>
      <c r="X4" s="551"/>
      <c r="Y4" s="365"/>
      <c r="Z4" s="365"/>
      <c r="AC4" s="8" t="s">
        <v>624</v>
      </c>
    </row>
    <row r="5" spans="1:34" ht="60">
      <c r="A5" s="124">
        <v>4</v>
      </c>
      <c r="B5" s="484" t="s">
        <v>102</v>
      </c>
      <c r="C5" s="485">
        <v>2021</v>
      </c>
      <c r="D5" s="485" t="s">
        <v>554</v>
      </c>
      <c r="E5" s="485">
        <v>2020000050035</v>
      </c>
      <c r="F5" s="315" t="s">
        <v>725</v>
      </c>
      <c r="G5" s="315"/>
      <c r="H5" s="488">
        <v>3641697281.9542847</v>
      </c>
      <c r="I5" s="315"/>
      <c r="J5" s="315"/>
      <c r="K5" s="488">
        <v>5352174918.0457153</v>
      </c>
      <c r="L5" s="491"/>
      <c r="M5" s="396"/>
      <c r="N5" s="489"/>
      <c r="O5" s="489"/>
      <c r="P5" s="396"/>
      <c r="Q5" s="396"/>
      <c r="R5" s="489"/>
      <c r="S5" s="546">
        <f>+H5+K5</f>
        <v>8993872200</v>
      </c>
      <c r="T5" s="489"/>
      <c r="U5" s="365"/>
      <c r="V5" s="365"/>
      <c r="W5" s="365"/>
      <c r="X5" s="551"/>
      <c r="Y5" s="365"/>
      <c r="Z5" s="365"/>
      <c r="AB5" s="8">
        <v>3143949127</v>
      </c>
      <c r="AC5" s="8" t="s">
        <v>623</v>
      </c>
    </row>
    <row r="6" spans="1:34" ht="67.5" customHeight="1">
      <c r="A6" s="124">
        <v>5</v>
      </c>
      <c r="B6" s="484" t="s">
        <v>102</v>
      </c>
      <c r="C6" s="485">
        <v>2021</v>
      </c>
      <c r="D6" s="485" t="s">
        <v>572</v>
      </c>
      <c r="E6" s="485">
        <v>2021004250690</v>
      </c>
      <c r="F6" s="315" t="s">
        <v>571</v>
      </c>
      <c r="G6" s="315"/>
      <c r="H6" s="488">
        <v>7299514100</v>
      </c>
      <c r="I6" s="315"/>
      <c r="J6" s="315"/>
      <c r="K6" s="491"/>
      <c r="L6" s="491"/>
      <c r="M6" s="396"/>
      <c r="N6" s="489"/>
      <c r="O6" s="489"/>
      <c r="P6" s="396"/>
      <c r="Q6" s="396"/>
      <c r="R6" s="489"/>
      <c r="S6" s="546">
        <f>+H6+K6</f>
        <v>7299514100</v>
      </c>
      <c r="T6" s="558">
        <v>44547</v>
      </c>
      <c r="U6" s="558">
        <v>44587</v>
      </c>
      <c r="V6" s="558">
        <v>44589</v>
      </c>
      <c r="W6" s="558">
        <v>44617</v>
      </c>
      <c r="X6" s="558">
        <v>44645</v>
      </c>
      <c r="Y6" s="559"/>
      <c r="Z6" s="558">
        <v>44676</v>
      </c>
      <c r="AB6" s="12" t="s">
        <v>622</v>
      </c>
    </row>
    <row r="7" spans="1:34" ht="48.95" customHeight="1">
      <c r="A7" s="124">
        <v>6</v>
      </c>
      <c r="B7" s="484" t="s">
        <v>102</v>
      </c>
      <c r="C7" s="485">
        <v>2021</v>
      </c>
      <c r="D7" s="309" t="s">
        <v>581</v>
      </c>
      <c r="E7" s="485">
        <v>2021004250686</v>
      </c>
      <c r="F7" s="315" t="s">
        <v>573</v>
      </c>
      <c r="G7" s="315"/>
      <c r="H7" s="315"/>
      <c r="I7" s="315"/>
      <c r="J7" s="488">
        <v>6928967103</v>
      </c>
      <c r="K7" s="491"/>
      <c r="L7" s="491"/>
      <c r="M7" s="396"/>
      <c r="N7" s="489"/>
      <c r="O7" s="489"/>
      <c r="P7" s="396"/>
      <c r="Q7" s="396"/>
      <c r="R7" s="489">
        <v>6841926279</v>
      </c>
      <c r="S7" s="546">
        <f>SUM(G7:R7)</f>
        <v>13770893382</v>
      </c>
      <c r="T7" s="571">
        <v>44561</v>
      </c>
      <c r="U7" s="571">
        <v>44600</v>
      </c>
      <c r="V7" s="571">
        <v>44610</v>
      </c>
      <c r="W7" s="571">
        <v>44638</v>
      </c>
      <c r="X7" s="571">
        <v>44669</v>
      </c>
      <c r="Y7" s="571"/>
      <c r="Z7" s="571">
        <v>44699</v>
      </c>
      <c r="AB7" s="12" t="s">
        <v>622</v>
      </c>
    </row>
    <row r="8" spans="1:34" ht="84.75" customHeight="1">
      <c r="A8" s="499">
        <v>7</v>
      </c>
      <c r="B8" s="143" t="s">
        <v>102</v>
      </c>
      <c r="C8" s="485">
        <v>2021</v>
      </c>
      <c r="D8" s="144" t="s">
        <v>582</v>
      </c>
      <c r="E8" s="485">
        <v>2020000050038</v>
      </c>
      <c r="F8" s="693" t="s">
        <v>520</v>
      </c>
      <c r="G8" s="316"/>
      <c r="H8" s="488">
        <v>4469462641.6031036</v>
      </c>
      <c r="I8" s="316"/>
      <c r="J8" s="316"/>
      <c r="K8" s="145"/>
      <c r="L8" s="145"/>
      <c r="M8" s="488">
        <v>4262987277.3968964</v>
      </c>
      <c r="N8" s="251"/>
      <c r="O8" s="251"/>
      <c r="P8" s="501"/>
      <c r="Q8" s="501"/>
      <c r="R8" s="489"/>
      <c r="S8" s="546">
        <f>SUM(G8:R8)</f>
        <v>8732449919</v>
      </c>
      <c r="T8" s="489"/>
      <c r="U8" s="365"/>
      <c r="V8" s="365"/>
      <c r="W8" s="365"/>
      <c r="X8" s="551"/>
      <c r="Y8" s="365"/>
      <c r="Z8" s="365"/>
      <c r="AB8" s="546">
        <f>SUM(P8:AA8)</f>
        <v>8732449919</v>
      </c>
    </row>
    <row r="9" spans="1:34" s="13" customFormat="1" ht="16.5" thickBot="1">
      <c r="A9" s="777" t="s">
        <v>575</v>
      </c>
      <c r="B9" s="778"/>
      <c r="C9" s="778"/>
      <c r="D9" s="778"/>
      <c r="E9" s="778"/>
      <c r="F9" s="779"/>
      <c r="G9" s="123">
        <f t="shared" ref="G9:L9" si="0">SUM(G2:G8)</f>
        <v>1957420099</v>
      </c>
      <c r="H9" s="123">
        <f>SUM(H2:H8)</f>
        <v>40385971075.557388</v>
      </c>
      <c r="I9" s="123">
        <f t="shared" si="0"/>
        <v>5616585397</v>
      </c>
      <c r="J9" s="123">
        <f>SUM(J2:J8)</f>
        <v>6928967103</v>
      </c>
      <c r="K9" s="123">
        <f>SUM(K2:K8)</f>
        <v>5352174918.0457153</v>
      </c>
      <c r="L9" s="123">
        <f t="shared" si="0"/>
        <v>0</v>
      </c>
      <c r="M9" s="502">
        <f t="shared" ref="M9:S9" si="1">SUM(M2:M8)</f>
        <v>4262987277.3968964</v>
      </c>
      <c r="N9" s="502">
        <f t="shared" si="1"/>
        <v>0</v>
      </c>
      <c r="O9" s="502">
        <f t="shared" si="1"/>
        <v>0</v>
      </c>
      <c r="P9" s="502">
        <f t="shared" si="1"/>
        <v>0</v>
      </c>
      <c r="Q9" s="502">
        <f t="shared" si="1"/>
        <v>0</v>
      </c>
      <c r="R9" s="502">
        <f t="shared" si="1"/>
        <v>6841926279</v>
      </c>
      <c r="S9" s="547">
        <f t="shared" si="1"/>
        <v>71346032149</v>
      </c>
      <c r="T9" s="552"/>
      <c r="U9" s="551"/>
      <c r="V9" s="551"/>
      <c r="W9" s="551"/>
      <c r="X9" s="551"/>
      <c r="Y9" s="365"/>
      <c r="Z9" s="365"/>
      <c r="AA9" s="8"/>
      <c r="AB9" s="8"/>
      <c r="AC9" s="8"/>
      <c r="AD9" s="8"/>
      <c r="AE9" s="8"/>
      <c r="AF9" s="8"/>
      <c r="AG9" s="8"/>
      <c r="AH9" s="8"/>
    </row>
    <row r="10" spans="1:34">
      <c r="G10" s="624"/>
      <c r="H10" s="203"/>
      <c r="I10" s="203"/>
    </row>
    <row r="11" spans="1:34" s="13" customFormat="1">
      <c r="A11" s="8"/>
      <c r="B11" s="8"/>
      <c r="C11" s="8"/>
      <c r="D11" s="8"/>
      <c r="E11" s="8"/>
      <c r="F11" s="12"/>
      <c r="G11" s="624"/>
      <c r="H11" s="203"/>
      <c r="I11" s="633"/>
      <c r="J11" s="203"/>
      <c r="K11" s="8"/>
      <c r="L11" s="8"/>
      <c r="M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s="13" customFormat="1">
      <c r="A12" s="8"/>
      <c r="B12" s="8"/>
      <c r="C12" s="8"/>
      <c r="D12" s="8"/>
      <c r="E12" s="8"/>
      <c r="F12" s="12"/>
      <c r="G12" s="12"/>
      <c r="H12" s="12"/>
      <c r="I12" s="206"/>
      <c r="J12" s="12"/>
      <c r="K12" s="8"/>
      <c r="L12" s="8"/>
      <c r="M12" s="185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>
      <c r="F13" s="701"/>
      <c r="G13" s="632"/>
      <c r="H13" s="633"/>
      <c r="I13" s="206"/>
    </row>
    <row r="14" spans="1:34" s="13" customFormat="1" ht="15.75">
      <c r="A14" s="8"/>
      <c r="B14" s="8"/>
      <c r="C14" s="700"/>
      <c r="D14" s="700"/>
      <c r="E14" s="700"/>
      <c r="F14" s="701"/>
      <c r="G14" s="12"/>
      <c r="H14" s="12"/>
      <c r="I14" s="206"/>
      <c r="J14" s="12"/>
      <c r="K14" s="8"/>
      <c r="L14" s="185"/>
      <c r="M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>
      <c r="C15" s="698"/>
      <c r="D15" s="698"/>
      <c r="E15" s="695"/>
      <c r="F15" s="696"/>
      <c r="H15" s="694"/>
      <c r="I15" s="661"/>
      <c r="S15" s="585"/>
    </row>
    <row r="16" spans="1:34" s="13" customFormat="1">
      <c r="A16" s="8"/>
      <c r="B16" s="8"/>
      <c r="C16" s="698"/>
      <c r="D16" s="698"/>
      <c r="E16" s="695"/>
      <c r="F16" s="701"/>
      <c r="G16" s="206"/>
      <c r="H16" s="206"/>
      <c r="I16" s="206"/>
      <c r="J16" s="206"/>
      <c r="K16" s="8"/>
      <c r="L16" s="8"/>
      <c r="M16" s="8"/>
      <c r="S16" s="585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s="13" customFormat="1" ht="15.75">
      <c r="A17" s="8"/>
      <c r="B17" s="8"/>
      <c r="C17" s="700"/>
      <c r="D17" s="700"/>
      <c r="E17" s="702"/>
      <c r="F17" s="697"/>
      <c r="G17" s="204"/>
      <c r="H17" s="204"/>
      <c r="I17" s="204"/>
      <c r="J17" s="204"/>
      <c r="K17" s="8"/>
      <c r="L17" s="8"/>
      <c r="M17" s="8"/>
      <c r="S17" s="585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>
      <c r="C18" s="698"/>
      <c r="D18" s="698"/>
      <c r="E18" s="698"/>
      <c r="F18" s="696"/>
    </row>
    <row r="19" spans="1:34">
      <c r="C19" s="698"/>
      <c r="D19" s="698"/>
      <c r="E19" s="695"/>
      <c r="F19" s="699"/>
      <c r="G19" s="203"/>
      <c r="H19" s="203"/>
      <c r="I19" s="203"/>
      <c r="J19" s="203"/>
    </row>
    <row r="20" spans="1:34" ht="15.75">
      <c r="C20" s="700"/>
      <c r="D20" s="700"/>
      <c r="E20" s="702"/>
      <c r="F20" s="696"/>
    </row>
    <row r="21" spans="1:34">
      <c r="K21" s="185"/>
    </row>
    <row r="25" spans="1:34">
      <c r="E25" s="365"/>
    </row>
    <row r="53" ht="30" customHeight="1"/>
    <row r="54" ht="30" customHeight="1"/>
    <row r="55" ht="30" customHeight="1"/>
    <row r="56" ht="30" customHeight="1"/>
    <row r="57" ht="15" customHeight="1"/>
  </sheetData>
  <autoFilter ref="A1:AH9" xr:uid="{00000000-0009-0000-0000-00000F000000}"/>
  <mergeCells count="1">
    <mergeCell ref="A9:F9"/>
  </mergeCells>
  <pageMargins left="0.25" right="0.25" top="0.41" bottom="0.39" header="0.3" footer="0.3"/>
  <pageSetup scale="19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H58"/>
  <sheetViews>
    <sheetView topLeftCell="A4" zoomScale="90" zoomScaleNormal="90" workbookViewId="0">
      <selection activeCell="F4" sqref="F4"/>
    </sheetView>
  </sheetViews>
  <sheetFormatPr baseColWidth="10" defaultColWidth="11.42578125" defaultRowHeight="15"/>
  <cols>
    <col min="1" max="1" width="9.140625" style="8" bestFit="1" customWidth="1"/>
    <col min="2" max="2" width="18.5703125" style="8" customWidth="1"/>
    <col min="3" max="4" width="13.42578125" style="8" customWidth="1"/>
    <col min="5" max="5" width="17.7109375" style="8" customWidth="1"/>
    <col min="6" max="6" width="50.140625" style="12" customWidth="1"/>
    <col min="7" max="7" width="21.7109375" style="12" customWidth="1"/>
    <col min="8" max="8" width="22" style="12" customWidth="1"/>
    <col min="9" max="9" width="18.5703125" style="12" customWidth="1"/>
    <col min="10" max="10" width="25.7109375" style="12" customWidth="1"/>
    <col min="11" max="11" width="26.140625" style="8" bestFit="1" customWidth="1"/>
    <col min="12" max="12" width="20.42578125" style="8" customWidth="1"/>
    <col min="13" max="13" width="25.85546875" style="8" customWidth="1"/>
    <col min="14" max="14" width="26.28515625" style="13" bestFit="1" customWidth="1"/>
    <col min="15" max="15" width="26.28515625" style="13" customWidth="1"/>
    <col min="16" max="18" width="24.5703125" style="13" customWidth="1"/>
    <col min="19" max="19" width="24.7109375" style="13" bestFit="1" customWidth="1"/>
    <col min="20" max="20" width="24.7109375" style="13" customWidth="1"/>
    <col min="21" max="21" width="24.5703125" style="13" customWidth="1"/>
    <col min="22" max="22" width="23.42578125" style="13" customWidth="1"/>
    <col min="23" max="23" width="28.5703125" style="13" customWidth="1"/>
    <col min="24" max="24" width="23.42578125" style="13" customWidth="1"/>
    <col min="25" max="25" width="19.28515625" style="8" hidden="1" customWidth="1"/>
    <col min="26" max="26" width="25.5703125" style="8" customWidth="1"/>
    <col min="27" max="27" width="21.7109375" style="8" hidden="1" customWidth="1"/>
    <col min="28" max="28" width="20.42578125" style="8" customWidth="1"/>
    <col min="29" max="29" width="14.42578125" style="8" customWidth="1"/>
    <col min="30" max="16384" width="11.42578125" style="8"/>
  </cols>
  <sheetData>
    <row r="1" spans="1:34" ht="68.45" customHeight="1">
      <c r="A1" s="479" t="s">
        <v>232</v>
      </c>
      <c r="B1" s="480" t="s">
        <v>152</v>
      </c>
      <c r="C1" s="481" t="s">
        <v>233</v>
      </c>
      <c r="D1" s="481" t="s">
        <v>551</v>
      </c>
      <c r="E1" s="480" t="s">
        <v>156</v>
      </c>
      <c r="F1" s="480" t="s">
        <v>234</v>
      </c>
      <c r="G1" s="480" t="s">
        <v>360</v>
      </c>
      <c r="H1" s="480" t="s">
        <v>505</v>
      </c>
      <c r="I1" s="481" t="s">
        <v>537</v>
      </c>
      <c r="J1" s="481" t="s">
        <v>574</v>
      </c>
      <c r="K1" s="482" t="s">
        <v>235</v>
      </c>
      <c r="L1" s="483" t="s">
        <v>236</v>
      </c>
      <c r="M1" s="482" t="s">
        <v>150</v>
      </c>
      <c r="N1" s="482" t="s">
        <v>237</v>
      </c>
      <c r="O1" s="482" t="s">
        <v>501</v>
      </c>
      <c r="P1" s="482" t="s">
        <v>238</v>
      </c>
      <c r="Q1" s="482" t="s">
        <v>189</v>
      </c>
      <c r="R1" s="482" t="s">
        <v>239</v>
      </c>
      <c r="S1" s="545" t="s">
        <v>240</v>
      </c>
      <c r="T1" s="548" t="s">
        <v>610</v>
      </c>
      <c r="U1" s="548" t="s">
        <v>608</v>
      </c>
      <c r="V1" s="548" t="s">
        <v>609</v>
      </c>
      <c r="W1" s="548" t="s">
        <v>611</v>
      </c>
      <c r="X1" s="548" t="s">
        <v>612</v>
      </c>
      <c r="Y1" s="549"/>
      <c r="Z1" s="550" t="s">
        <v>613</v>
      </c>
      <c r="AA1" s="544"/>
    </row>
    <row r="2" spans="1:34" ht="33.950000000000003" customHeight="1">
      <c r="A2" s="124">
        <v>1</v>
      </c>
      <c r="B2" s="484" t="s">
        <v>102</v>
      </c>
      <c r="C2" s="485">
        <v>2021</v>
      </c>
      <c r="D2" s="485" t="s">
        <v>555</v>
      </c>
      <c r="E2" s="629">
        <v>2021004250258</v>
      </c>
      <c r="F2" s="630" t="s">
        <v>504</v>
      </c>
      <c r="G2" s="315"/>
      <c r="H2" s="487">
        <v>16289941201</v>
      </c>
      <c r="I2" s="417"/>
      <c r="J2" s="417"/>
      <c r="K2" s="488"/>
      <c r="L2" s="489"/>
      <c r="M2" s="489"/>
      <c r="N2" s="396"/>
      <c r="O2" s="396"/>
      <c r="P2" s="396"/>
      <c r="Q2" s="396"/>
      <c r="R2" s="489"/>
      <c r="S2" s="546">
        <f>+H2</f>
        <v>16289941201</v>
      </c>
      <c r="T2" s="489"/>
      <c r="U2" s="551"/>
      <c r="V2" s="551"/>
      <c r="W2" s="551"/>
      <c r="X2" s="551"/>
      <c r="Y2" s="365"/>
      <c r="Z2" s="365"/>
    </row>
    <row r="3" spans="1:34" ht="36" customHeight="1">
      <c r="A3" s="124">
        <v>2</v>
      </c>
      <c r="B3" s="484" t="s">
        <v>102</v>
      </c>
      <c r="C3" s="485">
        <v>2021</v>
      </c>
      <c r="D3" s="485" t="s">
        <v>552</v>
      </c>
      <c r="E3" s="486" t="s">
        <v>549</v>
      </c>
      <c r="F3" s="315" t="s">
        <v>550</v>
      </c>
      <c r="G3" s="490">
        <v>1957420099</v>
      </c>
      <c r="H3" s="487">
        <v>8685355851</v>
      </c>
      <c r="I3" s="315"/>
      <c r="J3" s="315"/>
      <c r="K3" s="488"/>
      <c r="L3" s="491"/>
      <c r="M3" s="396"/>
      <c r="N3" s="396"/>
      <c r="O3" s="396"/>
      <c r="P3" s="396"/>
      <c r="Q3" s="396"/>
      <c r="R3" s="489"/>
      <c r="S3" s="546">
        <f>+G3+H3</f>
        <v>10642775950</v>
      </c>
      <c r="T3" s="489"/>
      <c r="U3" s="365"/>
      <c r="V3" s="365"/>
      <c r="W3" s="365"/>
      <c r="X3" s="551"/>
      <c r="Y3" s="365"/>
      <c r="Z3" s="365"/>
    </row>
    <row r="4" spans="1:34" ht="61.5" customHeight="1">
      <c r="A4" s="124">
        <v>3</v>
      </c>
      <c r="B4" s="484" t="s">
        <v>102</v>
      </c>
      <c r="C4" s="485">
        <v>2021</v>
      </c>
      <c r="D4" s="485" t="s">
        <v>553</v>
      </c>
      <c r="E4" s="486">
        <v>2018000050050</v>
      </c>
      <c r="F4" s="315" t="s">
        <v>723</v>
      </c>
      <c r="G4" s="315"/>
      <c r="H4" s="315"/>
      <c r="I4" s="488">
        <v>5616585397</v>
      </c>
      <c r="J4" s="488"/>
      <c r="K4" s="488"/>
      <c r="L4" s="491"/>
      <c r="M4" s="488"/>
      <c r="N4" s="396"/>
      <c r="O4" s="396"/>
      <c r="P4" s="396"/>
      <c r="Q4" s="396"/>
      <c r="R4" s="489"/>
      <c r="S4" s="546">
        <f>+I4</f>
        <v>5616585397</v>
      </c>
      <c r="T4" s="489"/>
      <c r="U4" s="365"/>
      <c r="V4" s="365"/>
      <c r="W4" s="365"/>
      <c r="X4" s="551"/>
      <c r="Y4" s="365"/>
      <c r="Z4" s="365"/>
      <c r="AC4" s="8" t="s">
        <v>624</v>
      </c>
    </row>
    <row r="5" spans="1:34" ht="60.75" thickBot="1">
      <c r="A5" s="124">
        <v>4</v>
      </c>
      <c r="B5" s="484" t="s">
        <v>102</v>
      </c>
      <c r="C5" s="485">
        <v>2021</v>
      </c>
      <c r="D5" s="485" t="s">
        <v>554</v>
      </c>
      <c r="E5" s="645">
        <v>2020000050035</v>
      </c>
      <c r="F5" s="646" t="s">
        <v>725</v>
      </c>
      <c r="G5" s="647"/>
      <c r="H5" s="648">
        <v>3641697281.9542847</v>
      </c>
      <c r="I5" s="649"/>
      <c r="J5" s="315"/>
      <c r="K5" s="488">
        <v>5352174918.0457153</v>
      </c>
      <c r="L5" s="491"/>
      <c r="M5" s="396"/>
      <c r="N5" s="489"/>
      <c r="O5" s="489"/>
      <c r="P5" s="396"/>
      <c r="Q5" s="396"/>
      <c r="R5" s="489"/>
      <c r="S5" s="546">
        <f>+H5+K5</f>
        <v>8993872200</v>
      </c>
      <c r="T5" s="489"/>
      <c r="U5" s="365"/>
      <c r="V5" s="365"/>
      <c r="W5" s="365"/>
      <c r="X5" s="551"/>
      <c r="Y5" s="365"/>
      <c r="Z5" s="365"/>
      <c r="AB5" s="8">
        <v>3143949127</v>
      </c>
      <c r="AC5" s="8" t="s">
        <v>623</v>
      </c>
    </row>
    <row r="6" spans="1:34" ht="27.6" customHeight="1" thickTop="1">
      <c r="A6" s="124"/>
      <c r="B6" s="634"/>
      <c r="C6" s="635"/>
      <c r="D6" s="305"/>
      <c r="E6" s="652" t="s">
        <v>350</v>
      </c>
      <c r="F6" s="653" t="s">
        <v>234</v>
      </c>
      <c r="G6" s="653" t="s">
        <v>352</v>
      </c>
      <c r="H6" s="653" t="s">
        <v>727</v>
      </c>
      <c r="I6" s="654" t="s">
        <v>728</v>
      </c>
      <c r="J6" s="643"/>
      <c r="K6" s="636"/>
      <c r="L6" s="637"/>
      <c r="M6" s="638"/>
      <c r="N6" s="639"/>
      <c r="O6" s="639"/>
      <c r="P6" s="638"/>
      <c r="Q6" s="638"/>
      <c r="R6" s="639"/>
      <c r="S6" s="546"/>
      <c r="T6" s="639"/>
      <c r="U6" s="640"/>
      <c r="V6" s="640"/>
      <c r="W6" s="640"/>
      <c r="X6" s="641"/>
      <c r="Y6" s="640"/>
      <c r="Z6" s="640"/>
    </row>
    <row r="7" spans="1:34" ht="67.5" customHeight="1" thickBot="1">
      <c r="A7" s="560">
        <v>5</v>
      </c>
      <c r="B7" s="561" t="s">
        <v>102</v>
      </c>
      <c r="C7" s="553">
        <v>2021</v>
      </c>
      <c r="D7" s="642" t="s">
        <v>572</v>
      </c>
      <c r="E7" s="655">
        <v>2021004250690</v>
      </c>
      <c r="F7" s="656" t="s">
        <v>571</v>
      </c>
      <c r="G7" s="657">
        <v>7299514100</v>
      </c>
      <c r="H7" s="658">
        <v>44547</v>
      </c>
      <c r="I7" s="659">
        <v>44728</v>
      </c>
      <c r="J7" s="644"/>
      <c r="K7" s="554"/>
      <c r="L7" s="554"/>
      <c r="M7" s="555"/>
      <c r="N7" s="556"/>
      <c r="O7" s="556"/>
      <c r="P7" s="555"/>
      <c r="Q7" s="555"/>
      <c r="R7" s="556"/>
      <c r="S7" s="557">
        <f>+H7+K7</f>
        <v>44547</v>
      </c>
      <c r="T7" s="558">
        <v>44547</v>
      </c>
      <c r="U7" s="558">
        <v>44587</v>
      </c>
      <c r="V7" s="558">
        <v>44589</v>
      </c>
      <c r="W7" s="558">
        <v>44617</v>
      </c>
      <c r="X7" s="558">
        <v>44645</v>
      </c>
      <c r="Y7" s="559"/>
      <c r="Z7" s="558">
        <v>44676</v>
      </c>
      <c r="AB7" s="12" t="s">
        <v>622</v>
      </c>
    </row>
    <row r="8" spans="1:34" ht="48.95" customHeight="1" thickTop="1">
      <c r="A8" s="562">
        <v>6</v>
      </c>
      <c r="B8" s="563" t="s">
        <v>102</v>
      </c>
      <c r="C8" s="564">
        <v>2021</v>
      </c>
      <c r="D8" s="565" t="s">
        <v>581</v>
      </c>
      <c r="E8" s="650">
        <v>2021004250686</v>
      </c>
      <c r="F8" s="651" t="s">
        <v>573</v>
      </c>
      <c r="G8" s="651"/>
      <c r="H8" s="651"/>
      <c r="I8" s="651"/>
      <c r="J8" s="566">
        <v>6928967103</v>
      </c>
      <c r="K8" s="567"/>
      <c r="L8" s="567"/>
      <c r="M8" s="568"/>
      <c r="N8" s="569"/>
      <c r="O8" s="569"/>
      <c r="P8" s="568"/>
      <c r="Q8" s="568"/>
      <c r="R8" s="569">
        <v>6841926279</v>
      </c>
      <c r="S8" s="570">
        <f>SUM(G8:R8)</f>
        <v>13770893382</v>
      </c>
      <c r="T8" s="571">
        <v>44561</v>
      </c>
      <c r="U8" s="571">
        <v>44600</v>
      </c>
      <c r="V8" s="571">
        <v>44610</v>
      </c>
      <c r="W8" s="571">
        <v>44638</v>
      </c>
      <c r="X8" s="571">
        <v>44669</v>
      </c>
      <c r="Y8" s="571"/>
      <c r="Z8" s="571">
        <v>44699</v>
      </c>
      <c r="AB8" s="12" t="s">
        <v>622</v>
      </c>
    </row>
    <row r="9" spans="1:34" ht="84.75" customHeight="1">
      <c r="A9" s="499">
        <v>7</v>
      </c>
      <c r="B9" s="143" t="s">
        <v>102</v>
      </c>
      <c r="C9" s="485">
        <v>2021</v>
      </c>
      <c r="D9" s="144" t="s">
        <v>582</v>
      </c>
      <c r="E9" s="628">
        <v>2020000050038</v>
      </c>
      <c r="F9" s="500" t="s">
        <v>520</v>
      </c>
      <c r="G9" s="316"/>
      <c r="H9" s="488">
        <v>4469462641.6031036</v>
      </c>
      <c r="I9" s="316"/>
      <c r="J9" s="316"/>
      <c r="K9" s="145"/>
      <c r="L9" s="145"/>
      <c r="M9" s="488">
        <v>4262987277.3968964</v>
      </c>
      <c r="N9" s="251"/>
      <c r="O9" s="251"/>
      <c r="P9" s="501"/>
      <c r="Q9" s="501"/>
      <c r="R9" s="489"/>
      <c r="S9" s="546">
        <f>SUM(G9:R9)</f>
        <v>8732449919</v>
      </c>
      <c r="T9" s="489"/>
      <c r="U9" s="365"/>
      <c r="V9" s="365"/>
      <c r="W9" s="365"/>
      <c r="X9" s="551"/>
      <c r="Y9" s="365"/>
      <c r="Z9" s="365"/>
    </row>
    <row r="10" spans="1:34" s="13" customFormat="1" ht="16.5" thickBot="1">
      <c r="A10" s="780" t="s">
        <v>575</v>
      </c>
      <c r="B10" s="781"/>
      <c r="C10" s="781"/>
      <c r="D10" s="781"/>
      <c r="E10" s="781"/>
      <c r="F10" s="782"/>
      <c r="G10" s="123">
        <f t="shared" ref="G10:S10" si="0">SUM(G2:G9)</f>
        <v>9256934199</v>
      </c>
      <c r="H10" s="123">
        <f>SUM(H2:H9)</f>
        <v>33086501522.557388</v>
      </c>
      <c r="I10" s="123">
        <f t="shared" si="0"/>
        <v>5616630125</v>
      </c>
      <c r="J10" s="123">
        <f>SUM(J2:J9)</f>
        <v>6928967103</v>
      </c>
      <c r="K10" s="123">
        <f>SUM(K2:K9)</f>
        <v>5352174918.0457153</v>
      </c>
      <c r="L10" s="123">
        <f t="shared" si="0"/>
        <v>0</v>
      </c>
      <c r="M10" s="502">
        <f t="shared" si="0"/>
        <v>4262987277.3968964</v>
      </c>
      <c r="N10" s="502">
        <f t="shared" si="0"/>
        <v>0</v>
      </c>
      <c r="O10" s="502">
        <f t="shared" si="0"/>
        <v>0</v>
      </c>
      <c r="P10" s="502">
        <f t="shared" si="0"/>
        <v>0</v>
      </c>
      <c r="Q10" s="502">
        <f t="shared" si="0"/>
        <v>0</v>
      </c>
      <c r="R10" s="502">
        <f t="shared" si="0"/>
        <v>6841926279</v>
      </c>
      <c r="S10" s="547">
        <f t="shared" si="0"/>
        <v>64046562596</v>
      </c>
      <c r="T10" s="552"/>
      <c r="U10" s="551"/>
      <c r="V10" s="551"/>
      <c r="W10" s="551"/>
      <c r="X10" s="551"/>
      <c r="Y10" s="365"/>
      <c r="Z10" s="365"/>
      <c r="AA10" s="8"/>
      <c r="AB10" s="8"/>
      <c r="AC10" s="8"/>
      <c r="AD10" s="8"/>
      <c r="AE10" s="8"/>
      <c r="AF10" s="8"/>
      <c r="AG10" s="8"/>
      <c r="AH10" s="8"/>
    </row>
    <row r="11" spans="1:34">
      <c r="G11" s="624"/>
      <c r="H11" s="203"/>
      <c r="I11" s="203"/>
    </row>
    <row r="12" spans="1:34" s="13" customFormat="1">
      <c r="A12" s="8"/>
      <c r="B12" s="8"/>
      <c r="C12" s="8"/>
      <c r="D12" s="8"/>
      <c r="E12" s="8"/>
      <c r="F12" s="12"/>
      <c r="G12" s="12"/>
      <c r="H12" s="203"/>
      <c r="I12" s="12"/>
      <c r="J12" s="203">
        <f>+H10+K10+M10</f>
        <v>42701663718</v>
      </c>
      <c r="K12" s="8"/>
      <c r="L12" s="8"/>
      <c r="M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s="13" customFormat="1">
      <c r="A13" s="8"/>
      <c r="B13" s="8"/>
      <c r="C13" s="8"/>
      <c r="D13" s="8"/>
      <c r="E13" s="8"/>
      <c r="F13" s="12"/>
      <c r="G13" s="12"/>
      <c r="H13" s="12"/>
      <c r="I13" s="12"/>
      <c r="J13" s="12"/>
      <c r="K13" s="8"/>
      <c r="L13" s="8"/>
      <c r="M13" s="185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>
      <c r="F14" s="631">
        <v>50525985438.559998</v>
      </c>
      <c r="G14" s="632">
        <v>0.4</v>
      </c>
      <c r="H14" s="633">
        <f>+F14*G14</f>
        <v>20210394175.424</v>
      </c>
    </row>
    <row r="15" spans="1:34" s="13" customFormat="1" ht="15.75">
      <c r="A15" s="8"/>
      <c r="B15" s="8"/>
      <c r="C15" s="367" t="s">
        <v>275</v>
      </c>
      <c r="D15" s="367"/>
      <c r="E15" s="367" t="s">
        <v>181</v>
      </c>
      <c r="F15" s="631">
        <v>1277047224.99</v>
      </c>
      <c r="G15" s="12"/>
      <c r="H15" s="12"/>
      <c r="I15" s="12"/>
      <c r="J15" s="12"/>
      <c r="K15" s="8"/>
      <c r="L15" s="185"/>
      <c r="M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>
      <c r="C16" s="366" t="s">
        <v>235</v>
      </c>
      <c r="D16" s="366"/>
      <c r="E16" s="340">
        <f>+K10</f>
        <v>5352174918.0457153</v>
      </c>
      <c r="S16" s="585"/>
    </row>
    <row r="17" spans="1:34" s="13" customFormat="1">
      <c r="A17" s="8"/>
      <c r="B17" s="8"/>
      <c r="C17" s="366" t="s">
        <v>150</v>
      </c>
      <c r="D17" s="366"/>
      <c r="E17" s="340">
        <f>+M10</f>
        <v>4262987277.3968964</v>
      </c>
      <c r="F17" s="631">
        <v>59829925320.660004</v>
      </c>
      <c r="G17" s="206"/>
      <c r="H17" s="206"/>
      <c r="I17" s="206"/>
      <c r="J17" s="206"/>
      <c r="K17" s="8"/>
      <c r="L17" s="8"/>
      <c r="M17" s="8"/>
      <c r="S17" s="585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s="13" customFormat="1" ht="15.75">
      <c r="A18" s="8"/>
      <c r="B18" s="8"/>
      <c r="C18" s="367" t="s">
        <v>190</v>
      </c>
      <c r="D18" s="367"/>
      <c r="E18" s="368">
        <f>+E16+E17</f>
        <v>9615162195.4426117</v>
      </c>
      <c r="F18" s="204"/>
      <c r="G18" s="204"/>
      <c r="H18" s="204"/>
      <c r="I18" s="204"/>
      <c r="J18" s="204"/>
      <c r="K18" s="8"/>
      <c r="L18" s="8"/>
      <c r="M18" s="8"/>
      <c r="S18" s="585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20" spans="1:34">
      <c r="C20" s="366" t="s">
        <v>237</v>
      </c>
      <c r="D20" s="366"/>
      <c r="E20" s="340">
        <f>+N10</f>
        <v>0</v>
      </c>
      <c r="F20" s="203"/>
      <c r="G20" s="203"/>
      <c r="H20" s="203"/>
      <c r="I20" s="203"/>
      <c r="J20" s="203"/>
    </row>
    <row r="21" spans="1:34" ht="15.75">
      <c r="C21" s="367" t="s">
        <v>190</v>
      </c>
      <c r="D21" s="367"/>
      <c r="E21" s="368">
        <f>+E20</f>
        <v>0</v>
      </c>
    </row>
    <row r="22" spans="1:34">
      <c r="K22" s="185"/>
    </row>
    <row r="26" spans="1:34">
      <c r="E26" s="365"/>
    </row>
    <row r="54" ht="30" customHeight="1"/>
    <row r="55" ht="30" customHeight="1"/>
    <row r="56" ht="30" customHeight="1"/>
    <row r="57" ht="30" customHeight="1"/>
    <row r="58" ht="15" customHeight="1"/>
  </sheetData>
  <autoFilter ref="A1:AH10" xr:uid="{00000000-0009-0000-0000-000010000000}"/>
  <mergeCells count="1">
    <mergeCell ref="A10:F10"/>
  </mergeCells>
  <pageMargins left="0.25" right="0.25" top="0.41" bottom="0.39" header="0.3" footer="0.3"/>
  <pageSetup scale="1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K62"/>
  <sheetViews>
    <sheetView topLeftCell="A23" workbookViewId="0">
      <selection activeCell="B35" sqref="B35"/>
    </sheetView>
  </sheetViews>
  <sheetFormatPr baseColWidth="10" defaultRowHeight="15"/>
  <cols>
    <col min="2" max="2" width="68.5703125" customWidth="1"/>
    <col min="3" max="3" width="23.140625" customWidth="1"/>
    <col min="4" max="4" width="32.5703125" customWidth="1"/>
    <col min="5" max="5" width="3.42578125" customWidth="1"/>
    <col min="6" max="6" width="22.140625" hidden="1" customWidth="1"/>
    <col min="7" max="7" width="16.85546875" bestFit="1" customWidth="1"/>
    <col min="8" max="9" width="17.28515625" bestFit="1" customWidth="1"/>
    <col min="10" max="11" width="15.7109375" bestFit="1" customWidth="1"/>
  </cols>
  <sheetData>
    <row r="1" spans="2:7" ht="15.75" thickBot="1">
      <c r="B1" s="668"/>
      <c r="C1" s="668"/>
      <c r="D1" s="668"/>
    </row>
    <row r="2" spans="2:7" ht="29.1" customHeight="1">
      <c r="B2" s="786" t="s">
        <v>234</v>
      </c>
      <c r="C2" s="788" t="s">
        <v>556</v>
      </c>
      <c r="D2" s="670" t="s">
        <v>557</v>
      </c>
      <c r="G2">
        <f>93*30%</f>
        <v>27.9</v>
      </c>
    </row>
    <row r="3" spans="2:7" ht="14.45" customHeight="1">
      <c r="B3" s="787"/>
      <c r="C3" s="789"/>
      <c r="D3" s="671" t="s">
        <v>558</v>
      </c>
    </row>
    <row r="4" spans="2:7" ht="14.45" customHeight="1">
      <c r="B4" s="787"/>
      <c r="C4" s="789"/>
      <c r="D4" s="671" t="s">
        <v>559</v>
      </c>
    </row>
    <row r="5" spans="2:7" ht="14.45" customHeight="1">
      <c r="B5" s="787"/>
      <c r="C5" s="789"/>
      <c r="D5" s="671" t="s">
        <v>560</v>
      </c>
    </row>
    <row r="6" spans="2:7" ht="14.45" customHeight="1">
      <c r="B6" s="787"/>
      <c r="C6" s="789"/>
      <c r="D6" s="671" t="s">
        <v>561</v>
      </c>
      <c r="G6" s="421">
        <v>3428926954</v>
      </c>
    </row>
    <row r="7" spans="2:7" ht="30">
      <c r="B7" s="672"/>
      <c r="C7" s="711" t="s">
        <v>741</v>
      </c>
      <c r="D7" s="671" t="s">
        <v>569</v>
      </c>
      <c r="G7" s="421">
        <v>3835486898</v>
      </c>
    </row>
    <row r="8" spans="2:7">
      <c r="B8" s="673" t="s">
        <v>722</v>
      </c>
      <c r="C8" s="627">
        <v>64399390451</v>
      </c>
      <c r="D8" s="674">
        <v>154816553388.548</v>
      </c>
      <c r="E8" s="496"/>
      <c r="G8" s="421">
        <f>+G6+G7</f>
        <v>7264413852</v>
      </c>
    </row>
    <row r="9" spans="2:7">
      <c r="B9" s="790" t="s">
        <v>732</v>
      </c>
      <c r="C9" s="791"/>
      <c r="D9" s="792"/>
      <c r="E9" s="496"/>
    </row>
    <row r="10" spans="2:7" ht="24">
      <c r="B10" s="675" t="s">
        <v>562</v>
      </c>
      <c r="C10" s="625"/>
      <c r="D10" s="676">
        <v>16289941201</v>
      </c>
      <c r="E10" s="421"/>
    </row>
    <row r="11" spans="2:7" ht="24">
      <c r="B11" s="675" t="s">
        <v>563</v>
      </c>
      <c r="C11" s="625"/>
      <c r="D11" s="676">
        <v>10642775950</v>
      </c>
      <c r="E11" s="421"/>
    </row>
    <row r="12" spans="2:7">
      <c r="B12" s="675" t="s">
        <v>514</v>
      </c>
      <c r="C12" s="625">
        <v>5616585397</v>
      </c>
      <c r="D12" s="676"/>
      <c r="E12" s="421"/>
    </row>
    <row r="13" spans="2:7" ht="36">
      <c r="B13" s="675" t="s">
        <v>519</v>
      </c>
      <c r="C13" s="625"/>
      <c r="D13" s="677">
        <v>8993872200</v>
      </c>
      <c r="E13" s="496"/>
      <c r="F13" s="496"/>
    </row>
    <row r="14" spans="2:7" hidden="1">
      <c r="B14" s="678"/>
      <c r="C14" s="625"/>
      <c r="D14" s="676"/>
      <c r="E14" s="496"/>
    </row>
    <row r="15" spans="2:7" ht="24">
      <c r="B15" s="675" t="s">
        <v>571</v>
      </c>
      <c r="C15" s="625"/>
      <c r="D15" s="677">
        <v>7299514100</v>
      </c>
      <c r="E15" s="496"/>
    </row>
    <row r="16" spans="2:7" ht="48">
      <c r="B16" s="675" t="s">
        <v>520</v>
      </c>
      <c r="C16" s="625"/>
      <c r="D16" s="679">
        <v>8732449919</v>
      </c>
      <c r="E16" s="496"/>
    </row>
    <row r="17" spans="2:11" ht="24">
      <c r="B17" s="675" t="s">
        <v>573</v>
      </c>
      <c r="C17" s="625"/>
      <c r="D17" s="680">
        <v>6928967103</v>
      </c>
      <c r="E17" s="496"/>
    </row>
    <row r="18" spans="2:11">
      <c r="B18" s="681" t="s">
        <v>730</v>
      </c>
      <c r="C18" s="665">
        <f>+C12</f>
        <v>5616585397</v>
      </c>
      <c r="D18" s="682">
        <f>SUM(D10:D17)</f>
        <v>58887520473</v>
      </c>
      <c r="E18" s="496"/>
    </row>
    <row r="19" spans="2:11">
      <c r="B19" s="790" t="s">
        <v>729</v>
      </c>
      <c r="C19" s="791"/>
      <c r="D19" s="792"/>
      <c r="E19" s="496"/>
    </row>
    <row r="20" spans="2:11" ht="63.95" customHeight="1">
      <c r="B20" s="675" t="s">
        <v>738</v>
      </c>
      <c r="C20" s="664">
        <v>6059727436</v>
      </c>
      <c r="D20" s="683"/>
    </row>
    <row r="21" spans="2:11">
      <c r="B21" s="675" t="s">
        <v>521</v>
      </c>
      <c r="C21" s="664">
        <v>42966037310</v>
      </c>
      <c r="D21" s="573"/>
    </row>
    <row r="22" spans="2:11">
      <c r="B22" s="675" t="s">
        <v>570</v>
      </c>
      <c r="C22" s="625"/>
      <c r="D22" s="680">
        <v>12372507277</v>
      </c>
      <c r="E22" s="496"/>
      <c r="G22" s="496">
        <f>+D18+D26</f>
        <v>116349799704</v>
      </c>
      <c r="I22" s="540"/>
    </row>
    <row r="23" spans="2:11" ht="36">
      <c r="B23" s="675" t="s">
        <v>735</v>
      </c>
      <c r="C23" s="625"/>
      <c r="D23" s="667">
        <v>16921563805</v>
      </c>
      <c r="E23" s="496"/>
    </row>
    <row r="24" spans="2:11" ht="36">
      <c r="B24" s="675" t="s">
        <v>733</v>
      </c>
      <c r="C24" s="625"/>
      <c r="D24" s="680">
        <v>24666685502</v>
      </c>
      <c r="E24" s="496"/>
    </row>
    <row r="25" spans="2:11">
      <c r="B25" s="675" t="s">
        <v>615</v>
      </c>
      <c r="C25" s="625"/>
      <c r="D25" s="680">
        <v>3501522647</v>
      </c>
      <c r="E25" s="496"/>
    </row>
    <row r="26" spans="2:11">
      <c r="B26" s="681" t="s">
        <v>731</v>
      </c>
      <c r="C26" s="665">
        <f>+C20+C21</f>
        <v>49025764746</v>
      </c>
      <c r="D26" s="684">
        <f>SUM(D20:D25)</f>
        <v>57462279231</v>
      </c>
      <c r="E26" s="496"/>
    </row>
    <row r="27" spans="2:11">
      <c r="B27" s="673" t="s">
        <v>734</v>
      </c>
      <c r="C27" s="627">
        <f>+C8-C18-C26</f>
        <v>9757040308</v>
      </c>
      <c r="D27" s="674">
        <f>+D8-D18-D26</f>
        <v>38466753684.548004</v>
      </c>
      <c r="E27" s="496"/>
      <c r="G27" s="662"/>
      <c r="H27" s="662"/>
      <c r="I27" s="662"/>
      <c r="J27" s="662"/>
      <c r="K27" s="663"/>
    </row>
    <row r="28" spans="2:11">
      <c r="B28" s="790" t="s">
        <v>564</v>
      </c>
      <c r="C28" s="791"/>
      <c r="D28" s="792"/>
      <c r="E28" s="496"/>
    </row>
    <row r="29" spans="2:11" ht="31.5" customHeight="1">
      <c r="B29" s="685" t="s">
        <v>726</v>
      </c>
      <c r="C29" s="686"/>
      <c r="D29" s="666">
        <v>8500000000</v>
      </c>
    </row>
    <row r="30" spans="2:11" ht="24">
      <c r="B30" s="675" t="s">
        <v>565</v>
      </c>
      <c r="C30" s="626"/>
      <c r="D30" s="666">
        <f>2800000000+3750000000</f>
        <v>6550000000</v>
      </c>
    </row>
    <row r="31" spans="2:11" ht="24">
      <c r="B31" s="675" t="s">
        <v>526</v>
      </c>
      <c r="C31" s="626"/>
      <c r="D31" s="667">
        <v>8000000000</v>
      </c>
      <c r="H31" s="496"/>
    </row>
    <row r="32" spans="2:11">
      <c r="B32" s="675" t="s">
        <v>527</v>
      </c>
      <c r="C32" s="626"/>
      <c r="D32" s="687">
        <v>24000000000</v>
      </c>
    </row>
    <row r="33" spans="2:9" ht="27.95" customHeight="1">
      <c r="B33" s="675" t="s">
        <v>614</v>
      </c>
      <c r="C33" s="584"/>
      <c r="D33" s="666">
        <v>3200000000</v>
      </c>
    </row>
    <row r="34" spans="2:9" hidden="1">
      <c r="B34" s="675"/>
      <c r="C34" s="584"/>
      <c r="D34" s="667"/>
    </row>
    <row r="35" spans="2:9">
      <c r="B35" s="675" t="s">
        <v>724</v>
      </c>
      <c r="C35" s="584">
        <v>9000000000</v>
      </c>
      <c r="D35" s="667">
        <f>10000000000-C35</f>
        <v>1000000000</v>
      </c>
    </row>
    <row r="36" spans="2:9">
      <c r="B36" s="688" t="s">
        <v>566</v>
      </c>
      <c r="C36" s="689">
        <f>SUM(C29:C35)</f>
        <v>9000000000</v>
      </c>
      <c r="D36" s="689">
        <f>SUM(D29:D35)</f>
        <v>51250000000</v>
      </c>
    </row>
    <row r="37" spans="2:9" ht="15.75" thickBot="1">
      <c r="B37" s="690" t="s">
        <v>567</v>
      </c>
      <c r="C37" s="691">
        <f>+C27-C36</f>
        <v>757040308</v>
      </c>
      <c r="D37" s="710">
        <f>+D27-D36</f>
        <v>-12783246315.451996</v>
      </c>
    </row>
    <row r="38" spans="2:9">
      <c r="D38" s="669"/>
    </row>
    <row r="43" spans="2:9" ht="15.75">
      <c r="C43" s="793" t="s">
        <v>589</v>
      </c>
      <c r="D43" s="794"/>
      <c r="E43" s="794"/>
      <c r="F43" s="794"/>
      <c r="G43" s="794"/>
      <c r="H43" s="794"/>
      <c r="I43" s="794"/>
    </row>
    <row r="44" spans="2:9">
      <c r="C44" s="795" t="s">
        <v>590</v>
      </c>
      <c r="D44" s="796"/>
      <c r="E44" s="796"/>
      <c r="F44" s="797"/>
      <c r="G44" s="530" t="s">
        <v>591</v>
      </c>
      <c r="H44" s="530" t="s">
        <v>591</v>
      </c>
      <c r="I44" s="531">
        <v>44805</v>
      </c>
    </row>
    <row r="45" spans="2:9">
      <c r="C45" s="798" t="s">
        <v>592</v>
      </c>
      <c r="D45" s="799"/>
      <c r="E45" s="799"/>
      <c r="F45" s="800"/>
      <c r="G45" s="532">
        <v>49557881257.290001</v>
      </c>
      <c r="H45" s="533">
        <v>42481994932.007568</v>
      </c>
      <c r="I45" s="533">
        <v>31344464121.085323</v>
      </c>
    </row>
    <row r="46" spans="2:9">
      <c r="C46" s="798" t="s">
        <v>593</v>
      </c>
      <c r="D46" s="799"/>
      <c r="E46" s="799"/>
      <c r="F46" s="800"/>
      <c r="G46" s="534">
        <v>4170464736.8264484</v>
      </c>
      <c r="H46" s="534">
        <v>4170464736.8264484</v>
      </c>
      <c r="I46" s="534">
        <v>4170464736.8264484</v>
      </c>
    </row>
    <row r="47" spans="2:9">
      <c r="C47" s="798" t="s">
        <v>594</v>
      </c>
      <c r="D47" s="799"/>
      <c r="E47" s="799"/>
      <c r="F47" s="800"/>
      <c r="G47" s="534">
        <v>26601961687.709999</v>
      </c>
      <c r="H47" s="534">
        <v>26601961687.709999</v>
      </c>
      <c r="I47" s="534">
        <v>26601961687.709999</v>
      </c>
    </row>
    <row r="48" spans="2:9">
      <c r="C48" s="801" t="s">
        <v>595</v>
      </c>
      <c r="D48" s="802"/>
      <c r="E48" s="802"/>
      <c r="F48" s="803"/>
      <c r="G48" s="535">
        <v>1981716605.3699999</v>
      </c>
      <c r="H48" s="533">
        <v>1206290471.6729472</v>
      </c>
      <c r="I48" s="533">
        <v>891891152.61820447</v>
      </c>
    </row>
    <row r="49" spans="3:10">
      <c r="C49" s="801" t="s">
        <v>596</v>
      </c>
      <c r="D49" s="802"/>
      <c r="E49" s="802"/>
      <c r="F49" s="803"/>
      <c r="G49" s="536">
        <v>9615162195.4425964</v>
      </c>
      <c r="H49" s="536">
        <v>9615162195.4425964</v>
      </c>
      <c r="I49" s="536">
        <v>9615162195.4425964</v>
      </c>
    </row>
    <row r="50" spans="3:10">
      <c r="C50" s="783" t="s">
        <v>597</v>
      </c>
      <c r="D50" s="784"/>
      <c r="E50" s="784"/>
      <c r="F50" s="785"/>
      <c r="G50" s="537">
        <v>3835486898.4699998</v>
      </c>
      <c r="H50" s="537">
        <v>3835486898.4699998</v>
      </c>
      <c r="I50" s="537"/>
    </row>
    <row r="51" spans="3:10">
      <c r="C51" s="798" t="s">
        <v>187</v>
      </c>
      <c r="D51" s="799"/>
      <c r="E51" s="799"/>
      <c r="F51" s="800"/>
      <c r="G51" s="534">
        <v>7227603443</v>
      </c>
      <c r="H51" s="534">
        <v>7227603443</v>
      </c>
      <c r="I51" s="534">
        <v>7227603443</v>
      </c>
    </row>
    <row r="52" spans="3:10">
      <c r="C52" s="795" t="s">
        <v>508</v>
      </c>
      <c r="D52" s="796"/>
      <c r="E52" s="796"/>
      <c r="F52" s="797"/>
      <c r="G52" s="538">
        <f>+SUM(G45:G51)</f>
        <v>102990276824.10904</v>
      </c>
      <c r="H52" s="538">
        <f>+SUM(H45:H51)</f>
        <v>95138964365.129547</v>
      </c>
      <c r="I52" s="538">
        <f>+SUM(I45:I51)</f>
        <v>79851547336.682571</v>
      </c>
    </row>
    <row r="53" spans="3:10" ht="18.75">
      <c r="C53" s="807" t="s">
        <v>598</v>
      </c>
      <c r="D53" s="808"/>
      <c r="E53" s="808"/>
      <c r="F53" s="808"/>
      <c r="G53" s="808"/>
      <c r="H53" s="808"/>
      <c r="I53" s="808"/>
    </row>
    <row r="54" spans="3:10">
      <c r="C54" s="809" t="s">
        <v>155</v>
      </c>
      <c r="D54" s="810"/>
      <c r="E54" s="810"/>
      <c r="F54" s="811"/>
      <c r="G54" s="539" t="s">
        <v>599</v>
      </c>
      <c r="H54" s="539" t="s">
        <v>599</v>
      </c>
      <c r="I54" s="539" t="s">
        <v>599</v>
      </c>
      <c r="J54" t="s">
        <v>600</v>
      </c>
    </row>
    <row r="55" spans="3:10">
      <c r="C55" s="351" t="s">
        <v>562</v>
      </c>
      <c r="D55" s="351"/>
      <c r="E55" s="351"/>
      <c r="F55" s="351"/>
      <c r="G55" s="534">
        <v>16289941201</v>
      </c>
      <c r="H55" s="534">
        <v>16289941201</v>
      </c>
      <c r="I55" s="534">
        <v>16289941201</v>
      </c>
      <c r="J55" s="540" t="s">
        <v>601</v>
      </c>
    </row>
    <row r="56" spans="3:10">
      <c r="C56" s="351" t="s">
        <v>563</v>
      </c>
      <c r="D56" s="351"/>
      <c r="E56" s="351"/>
      <c r="F56" s="351"/>
      <c r="G56" s="534">
        <v>10642775950</v>
      </c>
      <c r="H56" s="534">
        <v>10642775950</v>
      </c>
      <c r="I56" s="534">
        <v>10642775950</v>
      </c>
      <c r="J56" t="s">
        <v>602</v>
      </c>
    </row>
    <row r="57" spans="3:10">
      <c r="C57" s="351" t="s">
        <v>519</v>
      </c>
      <c r="D57" s="351"/>
      <c r="E57" s="351"/>
      <c r="F57" s="351"/>
      <c r="G57" s="534">
        <v>8993872200</v>
      </c>
      <c r="H57" s="534">
        <v>8993872200</v>
      </c>
      <c r="I57" s="534">
        <v>8993872200</v>
      </c>
      <c r="J57" t="s">
        <v>603</v>
      </c>
    </row>
    <row r="58" spans="3:10">
      <c r="C58" s="351" t="s">
        <v>604</v>
      </c>
      <c r="D58" s="351"/>
      <c r="E58" s="351"/>
      <c r="F58" s="351"/>
      <c r="G58" s="534">
        <v>7299514100</v>
      </c>
      <c r="H58" s="534">
        <v>7299514100</v>
      </c>
      <c r="I58" s="534">
        <v>7299514100</v>
      </c>
      <c r="J58" t="s">
        <v>605</v>
      </c>
    </row>
    <row r="59" spans="3:10">
      <c r="C59" s="351" t="s">
        <v>520</v>
      </c>
      <c r="D59" s="351"/>
      <c r="E59" s="351"/>
      <c r="F59" s="351"/>
      <c r="G59" s="534">
        <v>8732449919</v>
      </c>
      <c r="H59" s="534">
        <v>8732449919</v>
      </c>
      <c r="I59" s="534">
        <v>8732449919</v>
      </c>
      <c r="J59" t="s">
        <v>605</v>
      </c>
    </row>
    <row r="60" spans="3:10">
      <c r="C60" s="812" t="s">
        <v>508</v>
      </c>
      <c r="D60" s="813"/>
      <c r="E60" s="813"/>
      <c r="F60" s="814"/>
      <c r="G60" s="541">
        <f>+SUM(G55:G59)</f>
        <v>51958553370</v>
      </c>
      <c r="H60" s="541">
        <f>+SUM(H55:H59)</f>
        <v>51958553370</v>
      </c>
      <c r="I60" s="541">
        <f>+SUM(I55:I59)</f>
        <v>51958553370</v>
      </c>
    </row>
    <row r="61" spans="3:10">
      <c r="C61" s="815" t="s">
        <v>606</v>
      </c>
      <c r="D61" s="816"/>
      <c r="E61" s="816"/>
      <c r="F61" s="817"/>
      <c r="G61" s="542">
        <f>+G52-G60</f>
        <v>51031723454.109039</v>
      </c>
      <c r="H61" s="542">
        <f>+H52-H60</f>
        <v>43180410995.129547</v>
      </c>
      <c r="I61" s="542">
        <f>+I52-I60</f>
        <v>27892993966.682571</v>
      </c>
    </row>
    <row r="62" spans="3:10">
      <c r="C62" s="804" t="s">
        <v>607</v>
      </c>
      <c r="D62" s="805"/>
      <c r="E62" s="805"/>
      <c r="F62" s="806"/>
      <c r="G62" s="543">
        <f>+G60/G52</f>
        <v>0.50449959911008802</v>
      </c>
      <c r="H62" s="543">
        <f>+H60/H52</f>
        <v>0.54613326639325821</v>
      </c>
      <c r="I62" s="543">
        <f>+I60/I52</f>
        <v>0.65068937425751094</v>
      </c>
    </row>
  </sheetData>
  <mergeCells count="20">
    <mergeCell ref="C62:F62"/>
    <mergeCell ref="C51:F51"/>
    <mergeCell ref="C52:F52"/>
    <mergeCell ref="C53:I53"/>
    <mergeCell ref="C54:F54"/>
    <mergeCell ref="C60:F60"/>
    <mergeCell ref="C61:F61"/>
    <mergeCell ref="C50:F50"/>
    <mergeCell ref="B2:B6"/>
    <mergeCell ref="C2:C6"/>
    <mergeCell ref="B9:D9"/>
    <mergeCell ref="B28:D28"/>
    <mergeCell ref="C43:I43"/>
    <mergeCell ref="C44:F44"/>
    <mergeCell ref="C45:F45"/>
    <mergeCell ref="C46:F46"/>
    <mergeCell ref="C47:F47"/>
    <mergeCell ref="C48:F48"/>
    <mergeCell ref="C49:F49"/>
    <mergeCell ref="B19:D1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J60"/>
  <sheetViews>
    <sheetView topLeftCell="A22" workbookViewId="0">
      <selection activeCell="B28" sqref="B28"/>
    </sheetView>
  </sheetViews>
  <sheetFormatPr baseColWidth="10" defaultRowHeight="15"/>
  <cols>
    <col min="2" max="2" width="68.5703125" customWidth="1"/>
    <col min="3" max="3" width="28.85546875" customWidth="1"/>
    <col min="4" max="4" width="3.42578125" customWidth="1"/>
    <col min="5" max="5" width="22.140625" hidden="1" customWidth="1"/>
    <col min="6" max="6" width="16.85546875" bestFit="1" customWidth="1"/>
    <col min="7" max="8" width="17.28515625" bestFit="1" customWidth="1"/>
    <col min="9" max="10" width="15.7109375" bestFit="1" customWidth="1"/>
  </cols>
  <sheetData>
    <row r="1" spans="2:6" ht="15.75" thickBot="1">
      <c r="B1" s="668"/>
      <c r="C1" s="668"/>
    </row>
    <row r="2" spans="2:6" ht="29.1" customHeight="1">
      <c r="B2" s="818" t="s">
        <v>234</v>
      </c>
      <c r="C2" s="670" t="s">
        <v>776</v>
      </c>
      <c r="F2">
        <f>93*30%</f>
        <v>27.9</v>
      </c>
    </row>
    <row r="3" spans="2:6" ht="14.45" customHeight="1">
      <c r="B3" s="819"/>
      <c r="C3" s="671" t="s">
        <v>334</v>
      </c>
    </row>
    <row r="4" spans="2:6" ht="14.45" customHeight="1">
      <c r="B4" s="819"/>
      <c r="C4" s="671" t="s">
        <v>187</v>
      </c>
    </row>
    <row r="5" spans="2:6" ht="14.45" customHeight="1">
      <c r="B5" s="819"/>
      <c r="C5" s="671" t="s">
        <v>777</v>
      </c>
    </row>
    <row r="6" spans="2:6" ht="14.45" customHeight="1">
      <c r="B6" s="819"/>
      <c r="C6" s="671" t="s">
        <v>574</v>
      </c>
      <c r="F6" s="421">
        <v>3428926954</v>
      </c>
    </row>
    <row r="7" spans="2:6" ht="18.600000000000001" customHeight="1">
      <c r="B7" s="820"/>
      <c r="C7" s="671" t="s">
        <v>778</v>
      </c>
      <c r="F7" s="421">
        <v>3835486898</v>
      </c>
    </row>
    <row r="8" spans="2:6">
      <c r="B8" s="790" t="s">
        <v>732</v>
      </c>
      <c r="C8" s="792"/>
      <c r="D8" s="496"/>
    </row>
    <row r="9" spans="2:6" ht="24">
      <c r="B9" s="675" t="s">
        <v>562</v>
      </c>
      <c r="C9" s="677">
        <v>16289941201</v>
      </c>
      <c r="D9" s="421"/>
    </row>
    <row r="10" spans="2:6" ht="24">
      <c r="B10" s="675" t="s">
        <v>563</v>
      </c>
      <c r="C10" s="677">
        <v>10642775950</v>
      </c>
      <c r="D10" s="421"/>
    </row>
    <row r="11" spans="2:6" ht="36">
      <c r="B11" s="675" t="s">
        <v>519</v>
      </c>
      <c r="C11" s="677">
        <v>8993872200</v>
      </c>
      <c r="D11" s="496"/>
      <c r="E11" s="496"/>
    </row>
    <row r="12" spans="2:6" hidden="1">
      <c r="B12" s="678"/>
      <c r="C12" s="677"/>
      <c r="D12" s="496"/>
    </row>
    <row r="13" spans="2:6" ht="24">
      <c r="B13" s="675" t="s">
        <v>571</v>
      </c>
      <c r="C13" s="677">
        <v>7299514100</v>
      </c>
      <c r="D13" s="496"/>
    </row>
    <row r="14" spans="2:6" ht="48">
      <c r="B14" s="675" t="s">
        <v>520</v>
      </c>
      <c r="C14" s="680">
        <v>8732449919</v>
      </c>
      <c r="D14" s="496"/>
    </row>
    <row r="15" spans="2:6" ht="24">
      <c r="B15" s="675" t="s">
        <v>573</v>
      </c>
      <c r="C15" s="680">
        <v>6928967103</v>
      </c>
      <c r="D15" s="496"/>
    </row>
    <row r="16" spans="2:6">
      <c r="B16" s="681" t="s">
        <v>730</v>
      </c>
      <c r="C16" s="682">
        <f>SUM(C9:C15)</f>
        <v>58887520473</v>
      </c>
      <c r="D16" s="496"/>
    </row>
    <row r="17" spans="2:10">
      <c r="B17" s="790" t="s">
        <v>729</v>
      </c>
      <c r="C17" s="792"/>
      <c r="D17" s="496"/>
    </row>
    <row r="18" spans="2:10" ht="63.95" hidden="1" customHeight="1">
      <c r="B18" s="675" t="s">
        <v>738</v>
      </c>
      <c r="C18" s="683"/>
    </row>
    <row r="19" spans="2:10">
      <c r="B19" s="675" t="s">
        <v>570</v>
      </c>
      <c r="C19" s="680">
        <v>12372507277</v>
      </c>
      <c r="D19" s="496"/>
      <c r="F19" s="496">
        <f>+C16+C23</f>
        <v>116349799704</v>
      </c>
      <c r="H19" s="540"/>
    </row>
    <row r="20" spans="2:10" ht="36">
      <c r="B20" s="675" t="s">
        <v>735</v>
      </c>
      <c r="C20" s="666">
        <v>16921563805</v>
      </c>
      <c r="D20" s="496"/>
    </row>
    <row r="21" spans="2:10" ht="36">
      <c r="B21" s="675" t="s">
        <v>733</v>
      </c>
      <c r="C21" s="680">
        <v>24666685502</v>
      </c>
      <c r="D21" s="496"/>
    </row>
    <row r="22" spans="2:10">
      <c r="B22" s="675" t="s">
        <v>615</v>
      </c>
      <c r="C22" s="680">
        <v>3501522647</v>
      </c>
      <c r="D22" s="496"/>
    </row>
    <row r="23" spans="2:10">
      <c r="B23" s="681" t="s">
        <v>731</v>
      </c>
      <c r="C23" s="684">
        <f>SUM(C18:C22)</f>
        <v>57462279231</v>
      </c>
      <c r="D23" s="496"/>
    </row>
    <row r="24" spans="2:10">
      <c r="B24" s="737" t="s">
        <v>779</v>
      </c>
      <c r="C24" s="674">
        <f>+C16+C23</f>
        <v>116349799704</v>
      </c>
      <c r="D24" s="496"/>
      <c r="F24" s="662"/>
      <c r="G24" s="662"/>
      <c r="H24" s="662"/>
      <c r="I24" s="662"/>
      <c r="J24" s="663"/>
    </row>
    <row r="25" spans="2:10">
      <c r="B25" s="790" t="s">
        <v>780</v>
      </c>
      <c r="C25" s="792"/>
      <c r="D25" s="496"/>
    </row>
    <row r="26" spans="2:10" ht="31.5" customHeight="1">
      <c r="B26" s="685" t="s">
        <v>726</v>
      </c>
      <c r="C26" s="666">
        <v>8500000000</v>
      </c>
    </row>
    <row r="27" spans="2:10" ht="24">
      <c r="B27" s="675" t="s">
        <v>565</v>
      </c>
      <c r="C27" s="666">
        <f>2800000000+3750000000</f>
        <v>6550000000</v>
      </c>
    </row>
    <row r="28" spans="2:10" ht="24">
      <c r="B28" s="675" t="s">
        <v>526</v>
      </c>
      <c r="C28" s="667">
        <v>8000000000</v>
      </c>
      <c r="G28" s="496"/>
    </row>
    <row r="29" spans="2:10">
      <c r="B29" s="675" t="s">
        <v>527</v>
      </c>
      <c r="C29" s="687">
        <v>24000000000</v>
      </c>
    </row>
    <row r="30" spans="2:10" ht="27.95" customHeight="1">
      <c r="B30" s="675" t="s">
        <v>614</v>
      </c>
      <c r="C30" s="666">
        <v>3200000000</v>
      </c>
    </row>
    <row r="31" spans="2:10" hidden="1">
      <c r="B31" s="675"/>
      <c r="C31" s="667"/>
    </row>
    <row r="32" spans="2:10" hidden="1">
      <c r="B32" s="675" t="s">
        <v>724</v>
      </c>
      <c r="C32" s="667"/>
    </row>
    <row r="33" spans="2:8">
      <c r="B33" s="675" t="s">
        <v>781</v>
      </c>
      <c r="C33" s="667">
        <v>2000000000</v>
      </c>
    </row>
    <row r="34" spans="2:8">
      <c r="B34" s="688" t="s">
        <v>566</v>
      </c>
      <c r="C34" s="689">
        <f>SUM(C26:C33)</f>
        <v>52250000000</v>
      </c>
    </row>
    <row r="35" spans="2:8" ht="15.75" thickBot="1">
      <c r="B35" s="690" t="s">
        <v>567</v>
      </c>
      <c r="C35" s="710">
        <f>+C24-C34</f>
        <v>64099799704</v>
      </c>
    </row>
    <row r="36" spans="2:8">
      <c r="C36" s="669"/>
    </row>
    <row r="41" spans="2:8" ht="15.75">
      <c r="C41" s="794"/>
      <c r="D41" s="794"/>
      <c r="E41" s="794"/>
      <c r="F41" s="794"/>
      <c r="G41" s="794"/>
      <c r="H41" s="794"/>
    </row>
    <row r="42" spans="2:8">
      <c r="C42" s="796"/>
      <c r="D42" s="796"/>
      <c r="E42" s="797"/>
      <c r="F42" s="530" t="s">
        <v>591</v>
      </c>
      <c r="G42" s="530" t="s">
        <v>591</v>
      </c>
      <c r="H42" s="531">
        <v>44805</v>
      </c>
    </row>
    <row r="43" spans="2:8">
      <c r="C43" s="799"/>
      <c r="D43" s="799"/>
      <c r="E43" s="800"/>
      <c r="F43" s="532">
        <v>49557881257.290001</v>
      </c>
      <c r="G43" s="533">
        <v>42481994932.007568</v>
      </c>
      <c r="H43" s="533">
        <v>31344464121.085323</v>
      </c>
    </row>
    <row r="44" spans="2:8">
      <c r="C44" s="799"/>
      <c r="D44" s="799"/>
      <c r="E44" s="800"/>
      <c r="F44" s="534">
        <v>4170464736.8264484</v>
      </c>
      <c r="G44" s="534">
        <v>4170464736.8264484</v>
      </c>
      <c r="H44" s="534">
        <v>4170464736.8264484</v>
      </c>
    </row>
    <row r="45" spans="2:8">
      <c r="C45" s="799"/>
      <c r="D45" s="799"/>
      <c r="E45" s="800"/>
      <c r="F45" s="534">
        <v>26601961687.709999</v>
      </c>
      <c r="G45" s="534">
        <v>26601961687.709999</v>
      </c>
      <c r="H45" s="534">
        <v>26601961687.709999</v>
      </c>
    </row>
    <row r="46" spans="2:8">
      <c r="C46" s="802"/>
      <c r="D46" s="802"/>
      <c r="E46" s="803"/>
      <c r="F46" s="535">
        <v>1981716605.3699999</v>
      </c>
      <c r="G46" s="533">
        <v>1206290471.6729472</v>
      </c>
      <c r="H46" s="533">
        <v>891891152.61820447</v>
      </c>
    </row>
    <row r="47" spans="2:8">
      <c r="C47" s="802"/>
      <c r="D47" s="802"/>
      <c r="E47" s="803"/>
      <c r="F47" s="536">
        <v>9615162195.4425964</v>
      </c>
      <c r="G47" s="536">
        <v>9615162195.4425964</v>
      </c>
      <c r="H47" s="536">
        <v>9615162195.4425964</v>
      </c>
    </row>
    <row r="48" spans="2:8">
      <c r="C48" s="784"/>
      <c r="D48" s="784"/>
      <c r="E48" s="785"/>
      <c r="F48" s="537">
        <v>3835486898.4699998</v>
      </c>
      <c r="G48" s="537">
        <v>3835486898.4699998</v>
      </c>
      <c r="H48" s="537"/>
    </row>
    <row r="49" spans="3:9">
      <c r="C49" s="799"/>
      <c r="D49" s="799"/>
      <c r="E49" s="800"/>
      <c r="F49" s="534">
        <v>7227603443</v>
      </c>
      <c r="G49" s="534">
        <v>7227603443</v>
      </c>
      <c r="H49" s="534">
        <v>7227603443</v>
      </c>
    </row>
    <row r="50" spans="3:9">
      <c r="C50" s="796"/>
      <c r="D50" s="796"/>
      <c r="E50" s="797"/>
      <c r="F50" s="538">
        <f>+SUM(F43:F49)</f>
        <v>102990276824.10904</v>
      </c>
      <c r="G50" s="538">
        <f>+SUM(G43:G49)</f>
        <v>95138964365.129547</v>
      </c>
      <c r="H50" s="538">
        <f>+SUM(H43:H49)</f>
        <v>79851547336.682571</v>
      </c>
    </row>
    <row r="51" spans="3:9" ht="18.75">
      <c r="C51" s="808"/>
      <c r="D51" s="808"/>
      <c r="E51" s="808"/>
      <c r="F51" s="808"/>
      <c r="G51" s="808"/>
      <c r="H51" s="808"/>
    </row>
    <row r="52" spans="3:9">
      <c r="C52" s="810"/>
      <c r="D52" s="810"/>
      <c r="E52" s="811"/>
      <c r="F52" s="539" t="s">
        <v>599</v>
      </c>
      <c r="G52" s="539" t="s">
        <v>599</v>
      </c>
      <c r="H52" s="539" t="s">
        <v>599</v>
      </c>
      <c r="I52" t="s">
        <v>600</v>
      </c>
    </row>
    <row r="53" spans="3:9">
      <c r="C53" s="351"/>
      <c r="D53" s="351"/>
      <c r="E53" s="351"/>
      <c r="F53" s="534">
        <v>16289941201</v>
      </c>
      <c r="G53" s="534">
        <v>16289941201</v>
      </c>
      <c r="H53" s="534">
        <v>16289941201</v>
      </c>
      <c r="I53" s="540" t="s">
        <v>601</v>
      </c>
    </row>
    <row r="54" spans="3:9">
      <c r="C54" s="351"/>
      <c r="D54" s="351"/>
      <c r="E54" s="351"/>
      <c r="F54" s="534">
        <v>10642775950</v>
      </c>
      <c r="G54" s="534">
        <v>10642775950</v>
      </c>
      <c r="H54" s="534">
        <v>10642775950</v>
      </c>
      <c r="I54" t="s">
        <v>602</v>
      </c>
    </row>
    <row r="55" spans="3:9">
      <c r="C55" s="351"/>
      <c r="D55" s="351"/>
      <c r="E55" s="351"/>
      <c r="F55" s="534">
        <v>8993872200</v>
      </c>
      <c r="G55" s="534">
        <v>8993872200</v>
      </c>
      <c r="H55" s="534">
        <v>8993872200</v>
      </c>
      <c r="I55" t="s">
        <v>603</v>
      </c>
    </row>
    <row r="56" spans="3:9">
      <c r="C56" s="351"/>
      <c r="D56" s="351"/>
      <c r="E56" s="351"/>
      <c r="F56" s="534">
        <v>7299514100</v>
      </c>
      <c r="G56" s="534">
        <v>7299514100</v>
      </c>
      <c r="H56" s="534">
        <v>7299514100</v>
      </c>
      <c r="I56" t="s">
        <v>605</v>
      </c>
    </row>
    <row r="57" spans="3:9">
      <c r="C57" s="351"/>
      <c r="D57" s="351"/>
      <c r="E57" s="351"/>
      <c r="F57" s="534">
        <v>8732449919</v>
      </c>
      <c r="G57" s="534">
        <v>8732449919</v>
      </c>
      <c r="H57" s="534">
        <v>8732449919</v>
      </c>
      <c r="I57" t="s">
        <v>605</v>
      </c>
    </row>
    <row r="58" spans="3:9">
      <c r="C58" s="813"/>
      <c r="D58" s="813"/>
      <c r="E58" s="814"/>
      <c r="F58" s="541">
        <f>+SUM(F53:F57)</f>
        <v>51958553370</v>
      </c>
      <c r="G58" s="541">
        <f>+SUM(G53:G57)</f>
        <v>51958553370</v>
      </c>
      <c r="H58" s="541">
        <f>+SUM(H53:H57)</f>
        <v>51958553370</v>
      </c>
    </row>
    <row r="59" spans="3:9">
      <c r="C59" s="816"/>
      <c r="D59" s="816"/>
      <c r="E59" s="817"/>
      <c r="F59" s="542">
        <f>+F50-F58</f>
        <v>51031723454.109039</v>
      </c>
      <c r="G59" s="542">
        <f>+G50-G58</f>
        <v>43180410995.129547</v>
      </c>
      <c r="H59" s="542">
        <f>+H50-H58</f>
        <v>27892993966.682571</v>
      </c>
    </row>
    <row r="60" spans="3:9">
      <c r="C60" s="805"/>
      <c r="D60" s="805"/>
      <c r="E60" s="806"/>
      <c r="F60" s="543">
        <f>+F58/F50</f>
        <v>0.50449959911008802</v>
      </c>
      <c r="G60" s="543">
        <f>+G58/G50</f>
        <v>0.54613326639325821</v>
      </c>
      <c r="H60" s="543">
        <f>+H58/H50</f>
        <v>0.65068937425751094</v>
      </c>
    </row>
  </sheetData>
  <mergeCells count="19">
    <mergeCell ref="B2:B7"/>
    <mergeCell ref="C48:E48"/>
    <mergeCell ref="C49:E49"/>
    <mergeCell ref="C50:E50"/>
    <mergeCell ref="C51:H51"/>
    <mergeCell ref="C42:E42"/>
    <mergeCell ref="C43:E43"/>
    <mergeCell ref="C44:E44"/>
    <mergeCell ref="C45:E45"/>
    <mergeCell ref="C46:E46"/>
    <mergeCell ref="C47:E47"/>
    <mergeCell ref="B8:C8"/>
    <mergeCell ref="B17:C17"/>
    <mergeCell ref="B25:C25"/>
    <mergeCell ref="C41:H41"/>
    <mergeCell ref="C59:E59"/>
    <mergeCell ref="C60:E60"/>
    <mergeCell ref="C52:E52"/>
    <mergeCell ref="C58:E5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5"/>
  <sheetViews>
    <sheetView zoomScale="70" zoomScaleNormal="70" workbookViewId="0">
      <selection activeCell="D7" sqref="D7"/>
    </sheetView>
  </sheetViews>
  <sheetFormatPr baseColWidth="10" defaultColWidth="11.42578125" defaultRowHeight="18"/>
  <cols>
    <col min="1" max="1" width="40.7109375" style="81" customWidth="1"/>
    <col min="2" max="2" width="30.85546875" style="81" bestFit="1" customWidth="1"/>
    <col min="3" max="3" width="36.42578125" style="81" customWidth="1"/>
    <col min="4" max="4" width="30.42578125" style="81" customWidth="1"/>
    <col min="5" max="5" width="28.140625" style="81" customWidth="1"/>
    <col min="6" max="6" width="33.42578125" style="81" bestFit="1" customWidth="1"/>
    <col min="7" max="7" width="35.7109375" style="81" bestFit="1" customWidth="1"/>
    <col min="8" max="9" width="30.5703125" style="81" bestFit="1" customWidth="1"/>
    <col min="10" max="10" width="11.42578125" style="81"/>
    <col min="11" max="11" width="19.28515625" style="81" bestFit="1" customWidth="1"/>
    <col min="12" max="16384" width="11.42578125" style="81"/>
  </cols>
  <sheetData>
    <row r="1" spans="1:9" ht="54">
      <c r="A1" s="58" t="s">
        <v>178</v>
      </c>
      <c r="B1" s="764" t="s">
        <v>340</v>
      </c>
      <c r="C1" s="764"/>
      <c r="D1" s="764"/>
      <c r="E1" s="764"/>
      <c r="F1" s="764"/>
      <c r="G1" s="765"/>
    </row>
    <row r="2" spans="1:9" hidden="1">
      <c r="A2" s="59"/>
      <c r="B2" s="60"/>
      <c r="C2" s="60"/>
      <c r="D2" s="60"/>
      <c r="E2" s="60"/>
      <c r="F2" s="60"/>
      <c r="G2" s="61"/>
    </row>
    <row r="3" spans="1:9" ht="36">
      <c r="A3" s="62" t="s">
        <v>179</v>
      </c>
      <c r="B3" s="63" t="s">
        <v>180</v>
      </c>
      <c r="C3" s="64" t="s">
        <v>181</v>
      </c>
      <c r="D3" s="197" t="s">
        <v>182</v>
      </c>
      <c r="E3" s="65" t="s">
        <v>211</v>
      </c>
      <c r="F3" s="65" t="s">
        <v>212</v>
      </c>
      <c r="G3" s="66" t="s">
        <v>183</v>
      </c>
    </row>
    <row r="4" spans="1:9">
      <c r="A4" s="67" t="s">
        <v>184</v>
      </c>
      <c r="B4" s="68">
        <v>24354238622</v>
      </c>
      <c r="C4" s="69">
        <f>+'ASIGNACIONES DIRECTAS INFLEXIBI'!I6</f>
        <v>14701952459</v>
      </c>
      <c r="D4" s="70">
        <f t="shared" ref="D4:D10" si="0">+B4-C4</f>
        <v>9652286163</v>
      </c>
      <c r="E4" s="68"/>
      <c r="F4" s="68"/>
      <c r="G4" s="83">
        <f>+D4-E4-F4</f>
        <v>9652286163</v>
      </c>
    </row>
    <row r="5" spans="1:9">
      <c r="A5" s="71" t="s">
        <v>185</v>
      </c>
      <c r="B5" s="72">
        <v>168867948705</v>
      </c>
      <c r="C5" s="73">
        <f>+' PROYECTOS APROBADOS 2019'!G46</f>
        <v>125503455318</v>
      </c>
      <c r="D5" s="74">
        <f t="shared" si="0"/>
        <v>43364493387</v>
      </c>
      <c r="E5" s="75">
        <v>0</v>
      </c>
      <c r="F5" s="75">
        <v>0</v>
      </c>
      <c r="G5" s="83">
        <f>D5-F5-E5</f>
        <v>43364493387</v>
      </c>
      <c r="H5" s="105"/>
      <c r="I5" s="105"/>
    </row>
    <row r="6" spans="1:9">
      <c r="A6" s="76" t="s">
        <v>186</v>
      </c>
      <c r="B6" s="72">
        <v>110802361416.3969</v>
      </c>
      <c r="C6" s="73">
        <f>+' PROYECTOS APROBADOS 2019'!I46</f>
        <v>60981030645</v>
      </c>
      <c r="D6" s="74">
        <f t="shared" si="0"/>
        <v>49821330771.396896</v>
      </c>
      <c r="E6" s="75">
        <v>0</v>
      </c>
      <c r="F6" s="75">
        <f>+'INICIATIVAS EN FORMULACIÓN '!J9</f>
        <v>0</v>
      </c>
      <c r="G6" s="83">
        <f>+D6-E6-F6</f>
        <v>49821330771.396896</v>
      </c>
      <c r="I6" s="105"/>
    </row>
    <row r="7" spans="1:9">
      <c r="A7" s="77" t="s">
        <v>187</v>
      </c>
      <c r="B7" s="72">
        <v>7227603443</v>
      </c>
      <c r="C7" s="73">
        <f>+' PROYECTOS APROBADOS 2019'!H46</f>
        <v>0</v>
      </c>
      <c r="D7" s="74">
        <f t="shared" si="0"/>
        <v>7227603443</v>
      </c>
      <c r="E7" s="78">
        <f>+'INICIATIVAS  VERIFICACIÓN 21-22'!O18</f>
        <v>3500000000</v>
      </c>
      <c r="F7" s="78">
        <f>+'INICIATIVAS EN FORMULACIÓN '!K9</f>
        <v>0</v>
      </c>
      <c r="G7" s="83">
        <f>+D7-E7-F7</f>
        <v>3727603443</v>
      </c>
      <c r="I7" s="105"/>
    </row>
    <row r="8" spans="1:9" ht="36">
      <c r="A8" s="71" t="s">
        <v>219</v>
      </c>
      <c r="B8" s="79">
        <v>2029649705</v>
      </c>
      <c r="C8" s="72">
        <f>+' PROYECTOS APROBADOS 2019'!K46</f>
        <v>2029649705</v>
      </c>
      <c r="D8" s="74">
        <f t="shared" si="0"/>
        <v>0</v>
      </c>
      <c r="E8" s="80">
        <f>+'INICIATIVAS  VERIFICACIÓN 21-22'!P18</f>
        <v>0</v>
      </c>
      <c r="F8" s="80">
        <f>+'INICIATIVAS EN FORMULACIÓN '!L9</f>
        <v>0</v>
      </c>
      <c r="G8" s="83">
        <f>+D8-E8-F8</f>
        <v>0</v>
      </c>
      <c r="I8" s="105"/>
    </row>
    <row r="9" spans="1:9">
      <c r="A9" s="71" t="s">
        <v>188</v>
      </c>
      <c r="B9" s="72">
        <v>87618637359.559998</v>
      </c>
      <c r="C9" s="72">
        <f>+' PROYECTOS APROBADOS 2019'!J46</f>
        <v>25179132781.18</v>
      </c>
      <c r="D9" s="74">
        <f t="shared" si="0"/>
        <v>62439504578.379997</v>
      </c>
      <c r="E9" s="80">
        <f>+'INICIATIVAS  VERIFICACIÓN 21-22'!Q21</f>
        <v>0</v>
      </c>
      <c r="F9" s="80">
        <f>+'INICIATIVAS EN FORMULACIÓN '!M9</f>
        <v>0</v>
      </c>
      <c r="G9" s="83">
        <f>+D9-E9-F9</f>
        <v>62439504578.379997</v>
      </c>
      <c r="I9" s="105"/>
    </row>
    <row r="10" spans="1:9">
      <c r="A10" s="71" t="s">
        <v>189</v>
      </c>
      <c r="B10" s="79">
        <v>13486697322</v>
      </c>
      <c r="C10" s="72">
        <f>+' PROYECTOS APROBADOS 2019'!L46</f>
        <v>13486697322</v>
      </c>
      <c r="D10" s="74">
        <f t="shared" si="0"/>
        <v>0</v>
      </c>
      <c r="E10" s="80">
        <f>+'INICIATIVAS  VERIFICACIÓN 21-22'!S18</f>
        <v>0</v>
      </c>
      <c r="F10" s="80">
        <f>+'INICIATIVAS EN FORMULACIÓN '!N9</f>
        <v>0</v>
      </c>
      <c r="G10" s="83">
        <f>+D10-E10-F10</f>
        <v>0</v>
      </c>
    </row>
    <row r="11" spans="1:9">
      <c r="A11" s="71" t="s">
        <v>190</v>
      </c>
      <c r="B11" s="127">
        <f t="shared" ref="B11:G11" si="1">SUM(B4:B10)</f>
        <v>414387136572.95691</v>
      </c>
      <c r="C11" s="127">
        <f t="shared" si="1"/>
        <v>241881918230.17999</v>
      </c>
      <c r="D11" s="128">
        <f t="shared" si="1"/>
        <v>172505218342.77689</v>
      </c>
      <c r="E11" s="128">
        <f t="shared" si="1"/>
        <v>3500000000</v>
      </c>
      <c r="F11" s="128">
        <f t="shared" si="1"/>
        <v>0</v>
      </c>
      <c r="G11" s="128">
        <f t="shared" si="1"/>
        <v>169005218342.77689</v>
      </c>
      <c r="H11" s="105"/>
      <c r="I11" s="105"/>
    </row>
    <row r="12" spans="1:9">
      <c r="B12" s="105"/>
      <c r="D12" s="82"/>
      <c r="G12" s="82"/>
      <c r="I12" s="105"/>
    </row>
    <row r="13" spans="1:9" ht="18.75" thickBot="1">
      <c r="B13" s="105"/>
      <c r="C13" s="153"/>
      <c r="D13" s="153"/>
      <c r="E13" s="72"/>
    </row>
    <row r="14" spans="1:9" ht="54" customHeight="1">
      <c r="A14" s="160" t="s">
        <v>273</v>
      </c>
      <c r="B14" s="158">
        <f>+D5+D7</f>
        <v>50592096830</v>
      </c>
      <c r="C14" s="154">
        <f>+D5+B19+D19</f>
        <v>121825159956</v>
      </c>
      <c r="D14" s="157">
        <f>+D5+D7</f>
        <v>50592096830</v>
      </c>
      <c r="E14" s="253"/>
      <c r="F14" s="141" t="s">
        <v>259</v>
      </c>
      <c r="G14" s="86">
        <f>+G6+G5</f>
        <v>93185824158.396896</v>
      </c>
      <c r="I14" s="82"/>
    </row>
    <row r="15" spans="1:9" ht="30.75" customHeight="1" thickBot="1">
      <c r="A15" s="161" t="s">
        <v>272</v>
      </c>
      <c r="B15" s="159">
        <v>10960277386</v>
      </c>
      <c r="C15" s="92">
        <f>+B5+B19</f>
        <v>221175059751</v>
      </c>
      <c r="D15" s="92"/>
    </row>
    <row r="16" spans="1:9">
      <c r="B16" s="140"/>
      <c r="C16" s="92"/>
      <c r="D16" s="92"/>
      <c r="I16" s="184"/>
    </row>
    <row r="17" spans="1:9">
      <c r="B17" s="105">
        <f>+B6*40%</f>
        <v>44320944566.558762</v>
      </c>
      <c r="C17" s="82"/>
      <c r="E17" s="92"/>
      <c r="F17" s="314"/>
      <c r="I17" s="184"/>
    </row>
    <row r="18" spans="1:9">
      <c r="A18" s="332" t="s">
        <v>275</v>
      </c>
      <c r="B18" s="333" t="s">
        <v>384</v>
      </c>
      <c r="C18" s="334" t="s">
        <v>342</v>
      </c>
      <c r="D18" s="334" t="s">
        <v>341</v>
      </c>
      <c r="E18" s="334" t="s">
        <v>343</v>
      </c>
      <c r="F18" s="328"/>
      <c r="G18" s="329" t="s">
        <v>218</v>
      </c>
      <c r="I18" s="184"/>
    </row>
    <row r="19" spans="1:9">
      <c r="A19" s="335" t="s">
        <v>327</v>
      </c>
      <c r="B19" s="336">
        <v>52307111046</v>
      </c>
      <c r="C19" s="336">
        <f>+D5+B19+D7</f>
        <v>102899207876</v>
      </c>
      <c r="D19" s="337">
        <v>26153555523</v>
      </c>
      <c r="E19" s="338">
        <f>+C19-D19</f>
        <v>76745652353</v>
      </c>
      <c r="F19" s="330"/>
      <c r="G19" s="331"/>
      <c r="I19" s="184"/>
    </row>
    <row r="20" spans="1:9">
      <c r="A20" s="335" t="s">
        <v>150</v>
      </c>
      <c r="B20" s="336">
        <v>22743896560</v>
      </c>
      <c r="C20" s="336">
        <f>+B20+D6</f>
        <v>72565227331.396896</v>
      </c>
      <c r="D20" s="337">
        <v>11371948280</v>
      </c>
      <c r="E20" s="338">
        <f>+C20-D20</f>
        <v>61193279051.396896</v>
      </c>
      <c r="F20" s="82">
        <f>+B6</f>
        <v>110802361416.3969</v>
      </c>
      <c r="G20" s="219">
        <f>+F20-E20</f>
        <v>49609082365</v>
      </c>
    </row>
    <row r="21" spans="1:9">
      <c r="A21" s="335" t="s">
        <v>385</v>
      </c>
      <c r="B21" s="336">
        <v>26444683169.200001</v>
      </c>
      <c r="C21" s="336">
        <f>+D9+B21</f>
        <v>88884187747.580002</v>
      </c>
      <c r="D21" s="337">
        <v>13222341585.6</v>
      </c>
      <c r="E21" s="338">
        <f>+C21-D21</f>
        <v>75661846161.979996</v>
      </c>
      <c r="G21" s="253"/>
    </row>
    <row r="22" spans="1:9">
      <c r="A22" s="763" t="s">
        <v>190</v>
      </c>
      <c r="B22" s="763"/>
      <c r="C22" s="339">
        <f>+C19+C20+C21</f>
        <v>264348622954.97693</v>
      </c>
      <c r="D22" s="339">
        <f>SUM(D19:D21)</f>
        <v>50747845388.599998</v>
      </c>
      <c r="E22" s="339">
        <f>+E19+E20+E21</f>
        <v>213600777566.37689</v>
      </c>
    </row>
    <row r="23" spans="1:9">
      <c r="B23" s="155"/>
      <c r="C23" s="153"/>
    </row>
    <row r="24" spans="1:9">
      <c r="B24" s="156"/>
      <c r="C24" s="82">
        <f>+C5+'SALDOS 2020'!C5</f>
        <v>189766443230</v>
      </c>
    </row>
    <row r="25" spans="1:9">
      <c r="B25" s="153">
        <f>+B9*0.6</f>
        <v>52571182415.736</v>
      </c>
    </row>
  </sheetData>
  <mergeCells count="2">
    <mergeCell ref="A22:B22"/>
    <mergeCell ref="B1:G1"/>
  </mergeCells>
  <pageMargins left="0.25" right="0.25" top="0.75" bottom="0.75" header="0.3" footer="0.3"/>
  <pageSetup scale="56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L39"/>
  <sheetViews>
    <sheetView zoomScale="70" zoomScaleNormal="70" workbookViewId="0">
      <selection activeCell="C11" sqref="C11"/>
    </sheetView>
  </sheetViews>
  <sheetFormatPr baseColWidth="10" defaultColWidth="11.42578125" defaultRowHeight="18"/>
  <cols>
    <col min="1" max="1" width="36.5703125" style="81" customWidth="1"/>
    <col min="2" max="2" width="34.140625" style="81" bestFit="1" customWidth="1"/>
    <col min="3" max="3" width="29.85546875" style="81" customWidth="1"/>
    <col min="4" max="4" width="36.5703125" style="81" customWidth="1"/>
    <col min="5" max="5" width="34" style="81" customWidth="1"/>
    <col min="6" max="6" width="38.85546875" style="81" customWidth="1"/>
    <col min="7" max="7" width="13.42578125" style="81" customWidth="1"/>
    <col min="8" max="8" width="30.5703125" style="81" bestFit="1" customWidth="1"/>
    <col min="9" max="9" width="36.140625" style="81" customWidth="1"/>
    <col min="10" max="10" width="28" style="81" bestFit="1" customWidth="1"/>
    <col min="11" max="11" width="15.42578125" style="81" customWidth="1"/>
    <col min="12" max="16384" width="11.42578125" style="81"/>
  </cols>
  <sheetData>
    <row r="1" spans="1:12" ht="18.75" thickBot="1"/>
    <row r="2" spans="1:12" ht="54">
      <c r="A2" s="507" t="s">
        <v>178</v>
      </c>
      <c r="B2" s="821" t="s">
        <v>576</v>
      </c>
      <c r="C2" s="822"/>
      <c r="D2" s="822"/>
      <c r="E2" s="822"/>
      <c r="F2" s="823"/>
      <c r="G2" s="615"/>
      <c r="H2" s="826" t="s">
        <v>343</v>
      </c>
      <c r="I2" s="824" t="s">
        <v>721</v>
      </c>
      <c r="J2" s="826" t="s">
        <v>720</v>
      </c>
    </row>
    <row r="3" spans="1:12">
      <c r="A3" s="508" t="s">
        <v>179</v>
      </c>
      <c r="B3" s="509" t="s">
        <v>583</v>
      </c>
      <c r="C3" s="510" t="s">
        <v>578</v>
      </c>
      <c r="D3" s="511" t="s">
        <v>383</v>
      </c>
      <c r="E3" s="511" t="s">
        <v>579</v>
      </c>
      <c r="F3" s="512" t="s">
        <v>580</v>
      </c>
      <c r="G3" s="616"/>
      <c r="H3" s="827"/>
      <c r="I3" s="825"/>
      <c r="J3" s="827"/>
    </row>
    <row r="4" spans="1:12" ht="36">
      <c r="A4" s="513" t="s">
        <v>736</v>
      </c>
      <c r="B4" s="228">
        <v>7264413852</v>
      </c>
      <c r="C4" s="229">
        <f>+' PROYECTOS APROBADOS 2022'!G13</f>
        <v>4085460721</v>
      </c>
      <c r="D4" s="230">
        <f t="shared" ref="D4:D14" si="0">+B4-C4</f>
        <v>3178953131</v>
      </c>
      <c r="E4" s="227">
        <f>+'INICIATIVAS  VERIFICACIÓN 21-22'!H18</f>
        <v>2000000000</v>
      </c>
      <c r="F4" s="478">
        <f t="shared" ref="F4:F10" si="1">+D4-E4</f>
        <v>1178953131</v>
      </c>
      <c r="G4" s="617"/>
      <c r="H4" s="621">
        <f>++D4+D5+D9+D14</f>
        <v>43969416112.547607</v>
      </c>
      <c r="I4" s="622">
        <v>30142039322.98</v>
      </c>
      <c r="J4" s="621">
        <f>+H4+I4</f>
        <v>74111455435.527603</v>
      </c>
      <c r="K4" s="772"/>
      <c r="L4" s="772"/>
    </row>
    <row r="5" spans="1:12" ht="47.45" customHeight="1">
      <c r="A5" s="513" t="s">
        <v>543</v>
      </c>
      <c r="B5" s="228">
        <v>83394435719.547607</v>
      </c>
      <c r="C5" s="228">
        <f>+' PROYECTOS APROBADOS 2022'!H13</f>
        <v>49831576181</v>
      </c>
      <c r="D5" s="228">
        <f t="shared" si="0"/>
        <v>33562859538.547607</v>
      </c>
      <c r="E5" s="228">
        <f>+'INICIATIVAS  VERIFICACIÓN 21-22'!I18</f>
        <v>71747379777</v>
      </c>
      <c r="F5" s="506">
        <f t="shared" si="1"/>
        <v>-38184520238.452393</v>
      </c>
      <c r="G5" s="618"/>
      <c r="K5" s="776"/>
      <c r="L5" s="776"/>
    </row>
    <row r="6" spans="1:12" ht="21" customHeight="1">
      <c r="A6" s="514" t="s">
        <v>496</v>
      </c>
      <c r="B6" s="495">
        <v>0</v>
      </c>
      <c r="C6" s="232">
        <f>+' PROYECTOS APROBADOS 2022'!K13</f>
        <v>0</v>
      </c>
      <c r="D6" s="233">
        <f t="shared" si="0"/>
        <v>0</v>
      </c>
      <c r="E6" s="227">
        <v>0</v>
      </c>
      <c r="F6" s="438">
        <f t="shared" si="1"/>
        <v>0</v>
      </c>
      <c r="G6" s="470"/>
      <c r="K6" s="776"/>
      <c r="L6" s="776"/>
    </row>
    <row r="7" spans="1:12" ht="18" customHeight="1">
      <c r="A7" s="515" t="s">
        <v>495</v>
      </c>
      <c r="B7" s="495">
        <v>0</v>
      </c>
      <c r="C7" s="232">
        <f>+' PROYECTOS APROBADOS 2022'!M13</f>
        <v>0</v>
      </c>
      <c r="D7" s="233">
        <f t="shared" si="0"/>
        <v>0</v>
      </c>
      <c r="E7" s="227">
        <v>0</v>
      </c>
      <c r="F7" s="438">
        <f t="shared" si="1"/>
        <v>0</v>
      </c>
      <c r="G7" s="470"/>
    </row>
    <row r="8" spans="1:12" ht="36.6" customHeight="1">
      <c r="A8" s="514" t="s">
        <v>517</v>
      </c>
      <c r="B8" s="231">
        <v>0</v>
      </c>
      <c r="C8" s="437">
        <v>0</v>
      </c>
      <c r="D8" s="233">
        <f t="shared" si="0"/>
        <v>0</v>
      </c>
      <c r="E8" s="432">
        <v>0</v>
      </c>
      <c r="F8" s="438">
        <f t="shared" si="1"/>
        <v>0</v>
      </c>
      <c r="G8" s="470"/>
    </row>
    <row r="9" spans="1:12">
      <c r="A9" s="516" t="s">
        <v>187</v>
      </c>
      <c r="B9" s="231">
        <f>+'SALDOS 2020'!G7</f>
        <v>7227603443</v>
      </c>
      <c r="C9" s="232">
        <f>+' PROYECTOS APROBADOS 2022'!L13</f>
        <v>0</v>
      </c>
      <c r="D9" s="233">
        <f t="shared" si="0"/>
        <v>7227603443</v>
      </c>
      <c r="E9" s="234">
        <f>+'INICIATIVAS  VERIFICACIÓN 21-22'!O18</f>
        <v>3500000000</v>
      </c>
      <c r="F9" s="438">
        <f t="shared" si="1"/>
        <v>3727603443</v>
      </c>
      <c r="G9" s="470"/>
    </row>
    <row r="10" spans="1:12" ht="36" hidden="1">
      <c r="A10" s="514" t="s">
        <v>219</v>
      </c>
      <c r="B10" s="231">
        <v>0</v>
      </c>
      <c r="C10" s="231">
        <v>0</v>
      </c>
      <c r="D10" s="233">
        <f t="shared" si="0"/>
        <v>0</v>
      </c>
      <c r="E10" s="236"/>
      <c r="F10" s="438">
        <f t="shared" si="1"/>
        <v>0</v>
      </c>
      <c r="G10" s="470"/>
      <c r="H10" s="105"/>
    </row>
    <row r="11" spans="1:12">
      <c r="A11" s="709" t="s">
        <v>188</v>
      </c>
      <c r="B11" s="231">
        <v>16659605856</v>
      </c>
      <c r="C11" s="231">
        <f>+' PROYECTOS APROBADOS 2021'!N9</f>
        <v>0</v>
      </c>
      <c r="D11" s="233">
        <f t="shared" si="0"/>
        <v>16659605856</v>
      </c>
      <c r="E11" s="236">
        <v>0</v>
      </c>
      <c r="F11" s="438">
        <f>+D11-E11</f>
        <v>16659605856</v>
      </c>
      <c r="G11" s="470"/>
      <c r="H11" s="105"/>
    </row>
    <row r="12" spans="1:12">
      <c r="A12" s="709" t="s">
        <v>497</v>
      </c>
      <c r="B12" s="231">
        <v>4164901464</v>
      </c>
      <c r="C12" s="377">
        <f>+' PROYECTOS APROBADOS 2021'!O9</f>
        <v>0</v>
      </c>
      <c r="D12" s="233">
        <f t="shared" si="0"/>
        <v>4164901464</v>
      </c>
      <c r="E12" s="379">
        <v>0</v>
      </c>
      <c r="F12" s="438">
        <f>+D12-E12</f>
        <v>4164901464</v>
      </c>
      <c r="G12" s="470"/>
      <c r="H12" s="105"/>
    </row>
    <row r="13" spans="1:12" ht="27.6" customHeight="1">
      <c r="A13" s="514" t="s">
        <v>511</v>
      </c>
      <c r="B13" s="235">
        <v>58782805055</v>
      </c>
      <c r="C13" s="231">
        <f>+' PROYECTOS APROBADOS 2022'!I13</f>
        <v>49025764746</v>
      </c>
      <c r="D13" s="233">
        <f t="shared" si="0"/>
        <v>9757040309</v>
      </c>
      <c r="E13" s="236">
        <f>+'INICIATIVAS  VERIFICACIÓN 21-22'!J18</f>
        <v>57520734836</v>
      </c>
      <c r="F13" s="478">
        <f>+D13-E13</f>
        <v>-47763694527</v>
      </c>
      <c r="G13" s="619"/>
    </row>
    <row r="14" spans="1:12" ht="45.95" hidden="1" customHeight="1">
      <c r="A14" s="517" t="s">
        <v>616</v>
      </c>
      <c r="B14" s="503"/>
      <c r="C14" s="504">
        <f>+' PROYECTOS APROBADOS 2022'!N13</f>
        <v>0</v>
      </c>
      <c r="D14" s="233">
        <f t="shared" si="0"/>
        <v>0</v>
      </c>
      <c r="E14" s="505">
        <v>0</v>
      </c>
      <c r="F14" s="478">
        <f>+D14-E14</f>
        <v>0</v>
      </c>
      <c r="G14" s="619"/>
    </row>
    <row r="15" spans="1:12" ht="18.75" thickBot="1">
      <c r="A15" s="518" t="s">
        <v>190</v>
      </c>
      <c r="B15" s="519">
        <f>SUM(B4:B13)</f>
        <v>177493765389.54761</v>
      </c>
      <c r="C15" s="519">
        <f>SUM(C4:C13)</f>
        <v>102942801648</v>
      </c>
      <c r="D15" s="519">
        <f>SUM(D4:D13)</f>
        <v>74550963741.547607</v>
      </c>
      <c r="E15" s="519">
        <f>SUM(E4:E13)</f>
        <v>134768114613</v>
      </c>
      <c r="F15" s="519">
        <f>SUM(F4:F14)</f>
        <v>-60217150871.452393</v>
      </c>
      <c r="G15" s="620"/>
      <c r="H15" s="105"/>
    </row>
    <row r="16" spans="1:12">
      <c r="B16" s="105"/>
      <c r="C16" s="153"/>
      <c r="D16" s="82"/>
      <c r="F16" s="82"/>
      <c r="G16" s="82"/>
      <c r="H16" s="105"/>
    </row>
    <row r="17" spans="1:10" ht="18.75" thickBot="1">
      <c r="B17" s="105"/>
      <c r="C17" s="153"/>
      <c r="D17" s="422"/>
      <c r="E17" s="422"/>
      <c r="F17" s="153"/>
      <c r="G17" s="153"/>
    </row>
    <row r="18" spans="1:10" ht="41.1" customHeight="1">
      <c r="A18" s="395" t="s">
        <v>498</v>
      </c>
      <c r="B18" s="327">
        <f>+D5</f>
        <v>33562859538.547607</v>
      </c>
      <c r="C18" s="154">
        <f>+B4*5%</f>
        <v>363220692.60000002</v>
      </c>
      <c r="D18" s="422"/>
      <c r="E18" s="422"/>
      <c r="F18" s="82"/>
      <c r="G18" s="82"/>
      <c r="H18" s="82"/>
    </row>
    <row r="19" spans="1:10" ht="40.5" hidden="1" customHeight="1" thickBot="1">
      <c r="A19" s="249" t="s">
        <v>338</v>
      </c>
      <c r="B19" s="159">
        <f>+F11</f>
        <v>16659605856</v>
      </c>
      <c r="C19" s="92"/>
      <c r="D19" s="92"/>
    </row>
    <row r="20" spans="1:10" ht="18.75" thickBot="1">
      <c r="B20" s="140"/>
      <c r="C20" s="92"/>
      <c r="D20" s="423"/>
      <c r="F20" s="187"/>
      <c r="G20" s="187"/>
      <c r="H20" s="184"/>
    </row>
    <row r="21" spans="1:10" ht="45.6" customHeight="1">
      <c r="A21" s="395" t="s">
        <v>499</v>
      </c>
      <c r="B21" s="327">
        <f>+D6+D7+D9</f>
        <v>7227603443</v>
      </c>
      <c r="C21" s="82"/>
      <c r="D21" s="424"/>
      <c r="E21" s="521" t="s">
        <v>584</v>
      </c>
      <c r="F21" s="522" t="s">
        <v>539</v>
      </c>
      <c r="G21" s="522"/>
      <c r="H21" s="523" t="s">
        <v>585</v>
      </c>
      <c r="I21" s="524" t="s">
        <v>586</v>
      </c>
      <c r="J21" s="425"/>
    </row>
    <row r="22" spans="1:10" ht="18.75" thickBot="1">
      <c r="B22" s="155"/>
      <c r="C22" s="153"/>
      <c r="D22" s="283"/>
      <c r="E22" s="525" t="s">
        <v>587</v>
      </c>
      <c r="F22" s="428">
        <v>5616585397</v>
      </c>
      <c r="G22" s="584"/>
      <c r="H22" s="428">
        <v>58782805055</v>
      </c>
      <c r="I22" s="526">
        <v>57520734836</v>
      </c>
    </row>
    <row r="23" spans="1:10" ht="36.75" thickBot="1">
      <c r="A23" s="395" t="s">
        <v>500</v>
      </c>
      <c r="B23" s="327">
        <f>+D11+D12</f>
        <v>20824507320</v>
      </c>
      <c r="D23" s="253"/>
      <c r="E23" s="527" t="s">
        <v>588</v>
      </c>
      <c r="F23" s="528">
        <v>50001133271</v>
      </c>
      <c r="G23" s="528"/>
      <c r="H23" s="528">
        <v>83394435719.547607</v>
      </c>
      <c r="I23" s="529">
        <v>71747379777</v>
      </c>
    </row>
    <row r="24" spans="1:10">
      <c r="B24" s="153"/>
      <c r="C24" s="772"/>
      <c r="D24" s="772"/>
      <c r="F24" s="369"/>
      <c r="G24" s="369"/>
    </row>
    <row r="25" spans="1:10">
      <c r="D25" s="369"/>
      <c r="E25" s="375"/>
      <c r="F25" s="369"/>
      <c r="G25" s="369"/>
    </row>
    <row r="26" spans="1:10">
      <c r="A26" s="579" t="s">
        <v>431</v>
      </c>
      <c r="B26" s="579" t="s">
        <v>617</v>
      </c>
      <c r="C26" s="579" t="s">
        <v>618</v>
      </c>
      <c r="D26" s="579" t="s">
        <v>619</v>
      </c>
      <c r="E26" s="375"/>
      <c r="F26" s="105"/>
      <c r="G26" s="105"/>
    </row>
    <row r="27" spans="1:10">
      <c r="A27" s="580" t="s">
        <v>620</v>
      </c>
      <c r="B27" s="581">
        <v>134502967581.58286</v>
      </c>
      <c r="C27" s="581">
        <v>51958553370</v>
      </c>
      <c r="D27" s="582">
        <f>+B27-C27</f>
        <v>82544414211.582855</v>
      </c>
      <c r="E27" s="375"/>
    </row>
    <row r="28" spans="1:10">
      <c r="A28" s="583" t="s">
        <v>621</v>
      </c>
      <c r="B28" s="584">
        <v>144937669328.32822</v>
      </c>
      <c r="C28" s="581">
        <v>51958553370</v>
      </c>
      <c r="D28" s="582">
        <f>+B28-C28</f>
        <v>92979115958.328217</v>
      </c>
      <c r="E28" s="375"/>
    </row>
    <row r="29" spans="1:10">
      <c r="E29" s="375"/>
    </row>
    <row r="31" spans="1:10">
      <c r="E31" s="376"/>
    </row>
    <row r="35" spans="3:5">
      <c r="E35" s="375"/>
    </row>
    <row r="36" spans="3:5">
      <c r="E36" s="375"/>
    </row>
    <row r="37" spans="3:5">
      <c r="C37" s="374"/>
      <c r="D37" s="82"/>
      <c r="E37" s="375"/>
    </row>
    <row r="39" spans="3:5">
      <c r="C39" s="768"/>
      <c r="D39" s="768"/>
      <c r="E39" s="376"/>
    </row>
  </sheetData>
  <mergeCells count="8">
    <mergeCell ref="B2:F2"/>
    <mergeCell ref="K4:L4"/>
    <mergeCell ref="K5:L6"/>
    <mergeCell ref="C24:D24"/>
    <mergeCell ref="C39:D39"/>
    <mergeCell ref="I2:I3"/>
    <mergeCell ref="H2:H3"/>
    <mergeCell ref="J2:J3"/>
  </mergeCells>
  <pageMargins left="0.25" right="0.25" top="0.75" bottom="0.75" header="0.3" footer="0.3"/>
  <pageSetup scale="63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H61"/>
  <sheetViews>
    <sheetView tabSelected="1" zoomScale="62" zoomScaleNormal="62" workbookViewId="0">
      <selection activeCell="G10" sqref="G10"/>
    </sheetView>
  </sheetViews>
  <sheetFormatPr baseColWidth="10" defaultColWidth="11.42578125" defaultRowHeight="15"/>
  <cols>
    <col min="1" max="1" width="9.140625" style="8" bestFit="1" customWidth="1"/>
    <col min="2" max="2" width="18.5703125" style="8" customWidth="1"/>
    <col min="3" max="3" width="21.28515625" style="8" customWidth="1"/>
    <col min="4" max="4" width="28" style="8" customWidth="1"/>
    <col min="5" max="5" width="21.7109375" style="8" customWidth="1"/>
    <col min="6" max="6" width="50.140625" style="12" customWidth="1"/>
    <col min="7" max="7" width="36.140625" style="12" customWidth="1"/>
    <col min="8" max="8" width="27.5703125" style="12" customWidth="1"/>
    <col min="9" max="9" width="33.28515625" style="12" customWidth="1"/>
    <col min="10" max="10" width="25.7109375" style="12" hidden="1" customWidth="1"/>
    <col min="11" max="11" width="26.140625" style="8" hidden="1" customWidth="1"/>
    <col min="12" max="12" width="20.42578125" style="8" hidden="1" customWidth="1"/>
    <col min="13" max="14" width="25.85546875" style="8" hidden="1" customWidth="1"/>
    <col min="15" max="16" width="26.28515625" style="13" hidden="1" customWidth="1"/>
    <col min="17" max="19" width="24.5703125" style="13" hidden="1" customWidth="1"/>
    <col min="20" max="20" width="37.5703125" style="13" customWidth="1"/>
    <col min="21" max="21" width="24.5703125" style="13" customWidth="1"/>
    <col min="22" max="22" width="23.42578125" style="13" customWidth="1"/>
    <col min="23" max="24" width="32.28515625" style="13" bestFit="1" customWidth="1"/>
    <col min="25" max="25" width="19.28515625" style="8" hidden="1" customWidth="1"/>
    <col min="26" max="16384" width="11.42578125" style="8"/>
  </cols>
  <sheetData>
    <row r="1" spans="1:34">
      <c r="F1" s="831" t="s">
        <v>782</v>
      </c>
      <c r="G1" s="831"/>
      <c r="H1" s="831"/>
      <c r="I1" s="831"/>
      <c r="J1" s="831"/>
      <c r="K1" s="831"/>
      <c r="L1" s="831"/>
      <c r="M1" s="831"/>
      <c r="N1" s="831"/>
      <c r="O1" s="831"/>
      <c r="P1" s="831"/>
      <c r="Q1" s="831"/>
      <c r="R1" s="831"/>
      <c r="S1" s="831"/>
      <c r="T1" s="831"/>
    </row>
    <row r="2" spans="1:34"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</row>
    <row r="3" spans="1:34"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1"/>
    </row>
    <row r="4" spans="1:34">
      <c r="F4" s="831"/>
      <c r="G4" s="831"/>
      <c r="H4" s="831"/>
      <c r="I4" s="831"/>
      <c r="J4" s="831"/>
      <c r="K4" s="831"/>
      <c r="L4" s="831"/>
      <c r="M4" s="831"/>
      <c r="N4" s="831"/>
      <c r="O4" s="831"/>
      <c r="P4" s="831"/>
      <c r="Q4" s="831"/>
      <c r="R4" s="831"/>
      <c r="S4" s="831"/>
      <c r="T4" s="831"/>
    </row>
    <row r="5" spans="1:34">
      <c r="F5" s="831"/>
      <c r="G5" s="831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1"/>
      <c r="T5" s="831"/>
    </row>
    <row r="6" spans="1:34" ht="15.75" thickBot="1">
      <c r="F6" s="832"/>
      <c r="G6" s="832"/>
      <c r="H6" s="832"/>
      <c r="I6" s="832"/>
      <c r="J6" s="832"/>
      <c r="K6" s="832"/>
      <c r="L6" s="832"/>
      <c r="M6" s="832"/>
      <c r="N6" s="832"/>
      <c r="O6" s="832"/>
      <c r="P6" s="832"/>
      <c r="Q6" s="832"/>
      <c r="R6" s="832"/>
      <c r="S6" s="832"/>
      <c r="T6" s="832"/>
    </row>
    <row r="7" spans="1:34" ht="57" customHeight="1">
      <c r="A7" s="738" t="s">
        <v>232</v>
      </c>
      <c r="B7" s="739" t="s">
        <v>152</v>
      </c>
      <c r="C7" s="740" t="s">
        <v>233</v>
      </c>
      <c r="D7" s="740" t="s">
        <v>551</v>
      </c>
      <c r="E7" s="739" t="s">
        <v>156</v>
      </c>
      <c r="F7" s="739" t="s">
        <v>234</v>
      </c>
      <c r="G7" s="740" t="s">
        <v>360</v>
      </c>
      <c r="H7" s="740" t="s">
        <v>505</v>
      </c>
      <c r="I7" s="740" t="s">
        <v>537</v>
      </c>
      <c r="J7" s="740" t="s">
        <v>574</v>
      </c>
      <c r="K7" s="741" t="s">
        <v>235</v>
      </c>
      <c r="L7" s="741" t="s">
        <v>236</v>
      </c>
      <c r="M7" s="741" t="s">
        <v>150</v>
      </c>
      <c r="N7" s="741" t="s">
        <v>577</v>
      </c>
      <c r="O7" s="741" t="s">
        <v>237</v>
      </c>
      <c r="P7" s="741" t="s">
        <v>501</v>
      </c>
      <c r="Q7" s="741" t="s">
        <v>238</v>
      </c>
      <c r="R7" s="741" t="s">
        <v>189</v>
      </c>
      <c r="S7" s="741" t="s">
        <v>239</v>
      </c>
      <c r="T7" s="742" t="s">
        <v>240</v>
      </c>
      <c r="U7" s="26"/>
      <c r="V7" s="26"/>
      <c r="W7" s="26"/>
      <c r="X7" s="26"/>
      <c r="Y7" s="25"/>
    </row>
    <row r="8" spans="1:34" ht="33.950000000000003" customHeight="1">
      <c r="A8" s="124">
        <v>1</v>
      </c>
      <c r="B8" s="484" t="s">
        <v>102</v>
      </c>
      <c r="C8" s="485">
        <v>2022</v>
      </c>
      <c r="D8" s="485" t="s">
        <v>737</v>
      </c>
      <c r="E8" s="486"/>
      <c r="F8" s="758" t="s">
        <v>570</v>
      </c>
      <c r="G8" s="745">
        <v>4085460721</v>
      </c>
      <c r="H8" s="745">
        <v>8287046556</v>
      </c>
      <c r="I8" s="746"/>
      <c r="J8" s="746"/>
      <c r="K8" s="747"/>
      <c r="L8" s="748"/>
      <c r="M8" s="748"/>
      <c r="N8" s="748"/>
      <c r="O8" s="749"/>
      <c r="P8" s="749"/>
      <c r="Q8" s="749"/>
      <c r="R8" s="749"/>
      <c r="S8" s="748"/>
      <c r="T8" s="750">
        <f>SUM(G8:S8)</f>
        <v>12372507277</v>
      </c>
    </row>
    <row r="9" spans="1:34" ht="78.75" customHeight="1">
      <c r="A9" s="124">
        <v>2</v>
      </c>
      <c r="B9" s="484" t="s">
        <v>102</v>
      </c>
      <c r="C9" s="485">
        <v>2022</v>
      </c>
      <c r="D9" s="485" t="s">
        <v>783</v>
      </c>
      <c r="E9" s="486">
        <v>2022004250006</v>
      </c>
      <c r="F9" s="758" t="s">
        <v>735</v>
      </c>
      <c r="G9" s="751"/>
      <c r="H9" s="745">
        <v>16921563805</v>
      </c>
      <c r="I9" s="752"/>
      <c r="J9" s="746"/>
      <c r="K9" s="747"/>
      <c r="L9" s="753"/>
      <c r="M9" s="749"/>
      <c r="N9" s="749"/>
      <c r="O9" s="749"/>
      <c r="P9" s="749"/>
      <c r="Q9" s="749"/>
      <c r="R9" s="749"/>
      <c r="S9" s="748"/>
      <c r="T9" s="750">
        <f>+G9+H9</f>
        <v>16921563805</v>
      </c>
      <c r="U9" s="8"/>
      <c r="V9" s="8"/>
      <c r="W9" s="8"/>
    </row>
    <row r="10" spans="1:34" ht="115.5" customHeight="1">
      <c r="A10" s="124">
        <v>3</v>
      </c>
      <c r="B10" s="484" t="s">
        <v>102</v>
      </c>
      <c r="C10" s="485">
        <v>2022</v>
      </c>
      <c r="D10" s="485" t="s">
        <v>784</v>
      </c>
      <c r="E10" s="486">
        <v>2021000050019</v>
      </c>
      <c r="F10" s="758" t="s">
        <v>738</v>
      </c>
      <c r="G10" s="752"/>
      <c r="H10" s="752"/>
      <c r="I10" s="745">
        <v>6059727436</v>
      </c>
      <c r="J10" s="746"/>
      <c r="K10" s="747"/>
      <c r="L10" s="753"/>
      <c r="M10" s="747"/>
      <c r="N10" s="747"/>
      <c r="O10" s="749"/>
      <c r="P10" s="749"/>
      <c r="Q10" s="749"/>
      <c r="R10" s="749"/>
      <c r="S10" s="748"/>
      <c r="T10" s="750">
        <f>+I10</f>
        <v>6059727436</v>
      </c>
      <c r="U10" s="8"/>
      <c r="V10" s="8"/>
      <c r="W10" s="8"/>
    </row>
    <row r="11" spans="1:34" ht="75.75" customHeight="1">
      <c r="A11" s="124">
        <v>4</v>
      </c>
      <c r="B11" s="484" t="s">
        <v>102</v>
      </c>
      <c r="C11" s="485">
        <v>2022</v>
      </c>
      <c r="D11" s="485" t="s">
        <v>784</v>
      </c>
      <c r="E11" s="485">
        <v>2022000050007</v>
      </c>
      <c r="F11" s="758" t="s">
        <v>739</v>
      </c>
      <c r="G11" s="752"/>
      <c r="H11" s="747"/>
      <c r="I11" s="745">
        <v>42966037310</v>
      </c>
      <c r="J11" s="746"/>
      <c r="K11" s="747"/>
      <c r="L11" s="753"/>
      <c r="M11" s="749"/>
      <c r="N11" s="749"/>
      <c r="O11" s="748"/>
      <c r="P11" s="748"/>
      <c r="Q11" s="749"/>
      <c r="R11" s="749"/>
      <c r="S11" s="748"/>
      <c r="T11" s="750">
        <f>+I11</f>
        <v>42966037310</v>
      </c>
      <c r="U11" s="8"/>
      <c r="V11" s="8"/>
      <c r="W11" s="8"/>
    </row>
    <row r="12" spans="1:34" ht="96.75" customHeight="1">
      <c r="A12" s="124">
        <v>5</v>
      </c>
      <c r="B12" s="484" t="s">
        <v>102</v>
      </c>
      <c r="C12" s="485">
        <v>2022</v>
      </c>
      <c r="D12" s="485" t="s">
        <v>785</v>
      </c>
      <c r="E12" s="485" t="s">
        <v>740</v>
      </c>
      <c r="F12" s="758" t="s">
        <v>733</v>
      </c>
      <c r="G12" s="752"/>
      <c r="H12" s="745">
        <v>24622965820</v>
      </c>
      <c r="I12" s="752"/>
      <c r="J12" s="746"/>
      <c r="K12" s="753"/>
      <c r="L12" s="753"/>
      <c r="M12" s="749"/>
      <c r="N12" s="749"/>
      <c r="O12" s="748"/>
      <c r="P12" s="748"/>
      <c r="Q12" s="749"/>
      <c r="R12" s="749"/>
      <c r="S12" s="748"/>
      <c r="T12" s="750">
        <f>+H12+K12</f>
        <v>24622965820</v>
      </c>
      <c r="U12" s="8"/>
      <c r="V12" s="8"/>
      <c r="W12" s="8"/>
    </row>
    <row r="13" spans="1:34" s="13" customFormat="1" ht="16.5" thickBot="1">
      <c r="A13" s="828" t="s">
        <v>575</v>
      </c>
      <c r="B13" s="829"/>
      <c r="C13" s="829"/>
      <c r="D13" s="829"/>
      <c r="E13" s="829"/>
      <c r="F13" s="830"/>
      <c r="G13" s="743">
        <f t="shared" ref="G13:T13" si="0">SUM(G8:G12)</f>
        <v>4085460721</v>
      </c>
      <c r="H13" s="743">
        <f t="shared" si="0"/>
        <v>49831576181</v>
      </c>
      <c r="I13" s="743">
        <f t="shared" si="0"/>
        <v>49025764746</v>
      </c>
      <c r="J13" s="743">
        <f t="shared" si="0"/>
        <v>0</v>
      </c>
      <c r="K13" s="743">
        <f t="shared" si="0"/>
        <v>0</v>
      </c>
      <c r="L13" s="743">
        <f t="shared" si="0"/>
        <v>0</v>
      </c>
      <c r="M13" s="743">
        <f t="shared" si="0"/>
        <v>0</v>
      </c>
      <c r="N13" s="743">
        <f t="shared" si="0"/>
        <v>0</v>
      </c>
      <c r="O13" s="743">
        <f t="shared" si="0"/>
        <v>0</v>
      </c>
      <c r="P13" s="743">
        <f t="shared" si="0"/>
        <v>0</v>
      </c>
      <c r="Q13" s="743">
        <f t="shared" si="0"/>
        <v>0</v>
      </c>
      <c r="R13" s="743">
        <f t="shared" si="0"/>
        <v>0</v>
      </c>
      <c r="S13" s="743">
        <f t="shared" si="0"/>
        <v>0</v>
      </c>
      <c r="T13" s="744">
        <f t="shared" si="0"/>
        <v>102942801648</v>
      </c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5" spans="1:34" s="13" customFormat="1" ht="31.5">
      <c r="A15" s="8"/>
      <c r="B15" s="8"/>
      <c r="C15" s="833" t="s">
        <v>786</v>
      </c>
      <c r="D15" s="833"/>
      <c r="E15" s="833"/>
      <c r="F15" s="833"/>
      <c r="G15" s="833"/>
      <c r="H15" s="833"/>
      <c r="I15" s="12"/>
      <c r="J15" s="12"/>
      <c r="K15" s="8"/>
      <c r="L15" s="8"/>
      <c r="M15" s="8"/>
      <c r="N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s="13" customFormat="1" ht="31.5">
      <c r="A16" s="8"/>
      <c r="B16" s="8"/>
      <c r="C16" s="833" t="s">
        <v>787</v>
      </c>
      <c r="D16" s="833"/>
      <c r="E16" s="833"/>
      <c r="F16" s="833"/>
      <c r="G16" s="833"/>
      <c r="H16" s="833"/>
      <c r="I16" s="12"/>
      <c r="J16" s="12"/>
      <c r="K16" s="8"/>
      <c r="L16" s="8"/>
      <c r="M16" s="185"/>
      <c r="N16" s="185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>
      <c r="F17" s="206"/>
    </row>
    <row r="18" spans="1:34" s="13" customFormat="1" ht="15.75">
      <c r="A18" s="8"/>
      <c r="B18" s="8"/>
      <c r="C18" s="755"/>
      <c r="D18" s="755"/>
      <c r="E18" s="755"/>
      <c r="F18" s="12"/>
      <c r="G18" s="12"/>
      <c r="H18" s="12"/>
      <c r="I18" s="12"/>
      <c r="J18" s="12"/>
      <c r="K18" s="8"/>
      <c r="L18" s="185"/>
      <c r="M18" s="8"/>
      <c r="N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>
      <c r="C19" s="754"/>
      <c r="D19" s="754"/>
      <c r="E19" s="756"/>
    </row>
    <row r="20" spans="1:34" s="13" customFormat="1">
      <c r="A20" s="8"/>
      <c r="B20" s="8"/>
      <c r="C20" s="754"/>
      <c r="D20" s="754"/>
      <c r="E20" s="756"/>
      <c r="F20" s="206"/>
      <c r="G20" s="206"/>
      <c r="H20" s="206"/>
      <c r="I20" s="206"/>
      <c r="J20" s="206"/>
      <c r="K20" s="8"/>
      <c r="L20" s="8"/>
      <c r="M20" s="8"/>
      <c r="N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13" customFormat="1" ht="15.75">
      <c r="A21" s="8"/>
      <c r="B21" s="8"/>
      <c r="C21" s="755"/>
      <c r="D21" s="755"/>
      <c r="E21" s="757"/>
      <c r="F21" s="204"/>
      <c r="G21" s="204"/>
      <c r="H21" s="204"/>
      <c r="I21" s="204"/>
      <c r="J21" s="204"/>
      <c r="K21" s="8"/>
      <c r="L21" s="8"/>
      <c r="M21" s="8"/>
      <c r="N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>
      <c r="C22" s="754"/>
      <c r="D22" s="754"/>
      <c r="E22" s="754"/>
    </row>
    <row r="23" spans="1:34">
      <c r="C23" s="754"/>
      <c r="D23" s="754"/>
      <c r="E23" s="756"/>
      <c r="F23" s="203"/>
      <c r="G23" s="203"/>
      <c r="H23" s="204"/>
      <c r="I23" s="203"/>
      <c r="J23" s="203"/>
    </row>
    <row r="24" spans="1:34" ht="15.75">
      <c r="C24" s="755"/>
      <c r="D24" s="755"/>
      <c r="E24" s="757"/>
    </row>
    <row r="25" spans="1:34">
      <c r="K25" s="185"/>
    </row>
    <row r="29" spans="1:34">
      <c r="E29" s="365"/>
    </row>
    <row r="57" ht="30" customHeight="1"/>
    <row r="58" ht="30" customHeight="1"/>
    <row r="59" ht="30" customHeight="1"/>
    <row r="60" ht="30" customHeight="1"/>
    <row r="61" ht="15" customHeight="1"/>
  </sheetData>
  <sheetProtection algorithmName="SHA-512" hashValue="SIKRrAXyFmw45ZLadWv2i1pyPyUKFerfaIfZIPNax3YUT1D+8H/U8jyiKpOgkyURwgIGgO8bg7QxhIDB73vQRg==" saltValue="65EKsh0oYokF/jnjY5ihRg==" spinCount="100000" sheet="1" objects="1" scenarios="1" selectLockedCells="1" selectUnlockedCells="1"/>
  <autoFilter ref="A7:AH13" xr:uid="{00000000-0009-0000-0000-000014000000}"/>
  <mergeCells count="4">
    <mergeCell ref="A13:F13"/>
    <mergeCell ref="F1:T6"/>
    <mergeCell ref="C15:H15"/>
    <mergeCell ref="C16:H16"/>
  </mergeCells>
  <phoneticPr fontId="77" type="noConversion"/>
  <pageMargins left="0.25" right="0.25" top="0.41" bottom="0.39" header="0.3" footer="0.3"/>
  <pageSetup scale="19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F49"/>
  <sheetViews>
    <sheetView zoomScaleNormal="100" workbookViewId="0">
      <selection sqref="A1:D1"/>
    </sheetView>
  </sheetViews>
  <sheetFormatPr baseColWidth="10" defaultRowHeight="15"/>
  <cols>
    <col min="1" max="1" width="18.5703125" customWidth="1"/>
    <col min="2" max="2" width="76.28515625" customWidth="1"/>
    <col min="3" max="3" width="22.42578125" style="712" hidden="1" customWidth="1"/>
    <col min="4" max="4" width="26" style="712" customWidth="1"/>
    <col min="5" max="5" width="23.28515625" style="27" customWidth="1"/>
  </cols>
  <sheetData>
    <row r="1" spans="1:6" ht="15.75">
      <c r="A1" s="834" t="s">
        <v>775</v>
      </c>
      <c r="B1" s="834"/>
      <c r="C1" s="834"/>
      <c r="D1" s="834"/>
    </row>
    <row r="2" spans="1:6" ht="29.1" customHeight="1">
      <c r="A2" s="840" t="s">
        <v>770</v>
      </c>
      <c r="B2" s="839" t="s">
        <v>234</v>
      </c>
      <c r="C2" s="840" t="s">
        <v>556</v>
      </c>
      <c r="D2" s="736" t="s">
        <v>774</v>
      </c>
      <c r="E2" s="731"/>
    </row>
    <row r="3" spans="1:6" ht="14.45" customHeight="1">
      <c r="A3" s="840"/>
      <c r="B3" s="839"/>
      <c r="C3" s="840"/>
      <c r="D3" s="735" t="s">
        <v>773</v>
      </c>
      <c r="E3" s="731"/>
      <c r="F3">
        <v>105</v>
      </c>
    </row>
    <row r="4" spans="1:6" ht="14.45" customHeight="1">
      <c r="A4" s="840"/>
      <c r="B4" s="839"/>
      <c r="C4" s="840"/>
      <c r="D4" s="735" t="s">
        <v>772</v>
      </c>
      <c r="E4" s="731"/>
      <c r="F4">
        <v>65</v>
      </c>
    </row>
    <row r="5" spans="1:6" ht="14.45" customHeight="1">
      <c r="A5" s="840"/>
      <c r="B5" s="839"/>
      <c r="C5" s="840"/>
      <c r="D5" s="735" t="s">
        <v>771</v>
      </c>
      <c r="E5" s="731"/>
      <c r="F5">
        <v>53</v>
      </c>
    </row>
    <row r="6" spans="1:6" ht="14.45" customHeight="1">
      <c r="A6" s="840"/>
      <c r="B6" s="839"/>
      <c r="C6" s="840"/>
      <c r="D6" s="735"/>
      <c r="E6" s="731"/>
      <c r="F6">
        <v>6</v>
      </c>
    </row>
    <row r="7" spans="1:6">
      <c r="A7" s="734" t="s">
        <v>770</v>
      </c>
      <c r="B7" s="734" t="s">
        <v>769</v>
      </c>
      <c r="C7" s="733">
        <f>+((322000000000*40%)+322000000000)/5</f>
        <v>90160000000</v>
      </c>
      <c r="D7" s="733">
        <f>84000000000+2600000000</f>
        <v>86600000000</v>
      </c>
      <c r="E7" s="732">
        <f>+C7+D7</f>
        <v>176760000000</v>
      </c>
    </row>
    <row r="8" spans="1:6" ht="15.75">
      <c r="A8" s="626" t="s">
        <v>0</v>
      </c>
      <c r="B8" s="723" t="s">
        <v>768</v>
      </c>
      <c r="C8" s="720"/>
      <c r="D8" s="728">
        <v>12743682495</v>
      </c>
      <c r="E8" s="731"/>
    </row>
    <row r="9" spans="1:6" ht="31.5">
      <c r="A9" s="626" t="s">
        <v>344</v>
      </c>
      <c r="B9" s="723" t="s">
        <v>767</v>
      </c>
      <c r="C9" s="721"/>
      <c r="D9" s="728">
        <v>65000000000</v>
      </c>
      <c r="E9" s="731"/>
    </row>
    <row r="10" spans="1:6" ht="31.5">
      <c r="A10" s="626" t="s">
        <v>344</v>
      </c>
      <c r="B10" s="723" t="s">
        <v>766</v>
      </c>
      <c r="C10" s="720"/>
      <c r="D10" s="728">
        <v>26000000000</v>
      </c>
      <c r="E10" s="731"/>
    </row>
    <row r="11" spans="1:6" ht="15.75">
      <c r="A11" s="626" t="s">
        <v>765</v>
      </c>
      <c r="B11" s="723" t="s">
        <v>764</v>
      </c>
      <c r="C11" s="728">
        <v>5500000000</v>
      </c>
      <c r="D11" s="725">
        <v>5500000000</v>
      </c>
      <c r="E11" s="730"/>
    </row>
    <row r="12" spans="1:6" ht="47.25">
      <c r="A12" s="626" t="s">
        <v>532</v>
      </c>
      <c r="B12" s="723" t="s">
        <v>763</v>
      </c>
      <c r="C12" s="720"/>
      <c r="D12" s="725">
        <v>12000000000</v>
      </c>
      <c r="E12" s="730"/>
    </row>
    <row r="13" spans="1:6" ht="47.25">
      <c r="A13" s="626" t="s">
        <v>532</v>
      </c>
      <c r="B13" s="723" t="s">
        <v>762</v>
      </c>
      <c r="C13" s="728">
        <v>7000000000</v>
      </c>
      <c r="D13" s="720">
        <v>6000000000</v>
      </c>
      <c r="E13" s="729"/>
    </row>
    <row r="14" spans="1:6" ht="31.5">
      <c r="A14" s="626" t="s">
        <v>761</v>
      </c>
      <c r="B14" s="723" t="s">
        <v>760</v>
      </c>
      <c r="C14" s="728">
        <v>11000000000</v>
      </c>
      <c r="D14" s="720">
        <v>8500000000</v>
      </c>
      <c r="E14" s="729"/>
    </row>
    <row r="15" spans="1:6" ht="31.5">
      <c r="A15" s="626" t="s">
        <v>759</v>
      </c>
      <c r="B15" s="723" t="s">
        <v>758</v>
      </c>
      <c r="C15" s="728">
        <v>15000000000</v>
      </c>
      <c r="D15" s="720">
        <v>15000000000</v>
      </c>
      <c r="E15" s="727"/>
    </row>
    <row r="16" spans="1:6" ht="31.5">
      <c r="A16" s="626" t="s">
        <v>757</v>
      </c>
      <c r="B16" s="726" t="s">
        <v>756</v>
      </c>
      <c r="C16" s="725">
        <v>23000000000</v>
      </c>
      <c r="D16" s="720">
        <v>22000000000</v>
      </c>
      <c r="E16" s="716"/>
    </row>
    <row r="17" spans="1:5" ht="15.75">
      <c r="A17" s="626" t="s">
        <v>755</v>
      </c>
      <c r="B17" s="726" t="s">
        <v>754</v>
      </c>
      <c r="C17" s="725">
        <v>2000000000</v>
      </c>
      <c r="D17" s="720">
        <v>3500000000</v>
      </c>
      <c r="E17" s="716">
        <f>7300000000*5%</f>
        <v>365000000</v>
      </c>
    </row>
    <row r="18" spans="1:5" ht="15.75">
      <c r="A18" s="626" t="s">
        <v>753</v>
      </c>
      <c r="B18" s="723" t="s">
        <v>752</v>
      </c>
      <c r="C18" s="720"/>
      <c r="D18" s="725">
        <v>1000000000</v>
      </c>
      <c r="E18" s="716"/>
    </row>
    <row r="19" spans="1:5" ht="15.75">
      <c r="A19" s="626" t="s">
        <v>344</v>
      </c>
      <c r="B19" s="723" t="s">
        <v>751</v>
      </c>
      <c r="C19" s="720"/>
      <c r="D19" s="725">
        <v>2000000000</v>
      </c>
      <c r="E19" s="716"/>
    </row>
    <row r="20" spans="1:5" ht="31.5">
      <c r="A20" s="626" t="s">
        <v>750</v>
      </c>
      <c r="B20" s="723" t="s">
        <v>749</v>
      </c>
      <c r="C20" s="725">
        <v>11000000000</v>
      </c>
      <c r="D20" s="720">
        <v>10000000000</v>
      </c>
      <c r="E20" s="716"/>
    </row>
    <row r="21" spans="1:5" ht="31.5">
      <c r="A21" s="626" t="s">
        <v>744</v>
      </c>
      <c r="B21" s="723" t="s">
        <v>748</v>
      </c>
      <c r="C21" s="721">
        <v>12000000000</v>
      </c>
      <c r="D21" s="720">
        <v>6500000000</v>
      </c>
      <c r="E21" s="716"/>
    </row>
    <row r="22" spans="1:5" ht="47.25">
      <c r="A22" s="626" t="s">
        <v>532</v>
      </c>
      <c r="B22" s="723" t="s">
        <v>747</v>
      </c>
      <c r="C22" s="724">
        <v>7200000000</v>
      </c>
      <c r="D22" s="720">
        <v>7000000000</v>
      </c>
      <c r="E22" s="716"/>
    </row>
    <row r="23" spans="1:5" ht="31.5">
      <c r="A23" s="626" t="s">
        <v>210</v>
      </c>
      <c r="B23" s="723" t="s">
        <v>746</v>
      </c>
      <c r="C23" s="724">
        <v>3000000000</v>
      </c>
      <c r="D23" s="720">
        <v>3000000000</v>
      </c>
      <c r="E23" s="716"/>
    </row>
    <row r="24" spans="1:5" ht="15.75">
      <c r="A24" s="626" t="s">
        <v>744</v>
      </c>
      <c r="B24" s="723" t="s">
        <v>745</v>
      </c>
      <c r="C24" s="721">
        <v>6000000000</v>
      </c>
      <c r="D24" s="720">
        <v>6000000000</v>
      </c>
      <c r="E24" s="716"/>
    </row>
    <row r="25" spans="1:5">
      <c r="A25" s="626" t="s">
        <v>744</v>
      </c>
      <c r="B25" s="722" t="s">
        <v>743</v>
      </c>
      <c r="C25" s="721">
        <v>5000000000</v>
      </c>
      <c r="D25" s="720">
        <v>6000000000</v>
      </c>
      <c r="E25" s="716"/>
    </row>
    <row r="26" spans="1:5" ht="14.45" customHeight="1">
      <c r="A26" s="837" t="s">
        <v>742</v>
      </c>
      <c r="B26" s="838"/>
      <c r="C26" s="719">
        <f>+SUM(C8:C25)</f>
        <v>107700000000</v>
      </c>
      <c r="D26" s="719">
        <f>+SUM(D8:D25)</f>
        <v>217743682495</v>
      </c>
      <c r="E26" s="716"/>
    </row>
    <row r="27" spans="1:5">
      <c r="A27" s="835" t="s">
        <v>343</v>
      </c>
      <c r="B27" s="836"/>
      <c r="C27" s="718">
        <f>+C7-C26</f>
        <v>-17540000000</v>
      </c>
      <c r="D27" s="718">
        <f>+D7-D26</f>
        <v>-131143682495</v>
      </c>
      <c r="E27" s="716"/>
    </row>
    <row r="28" spans="1:5" ht="29.45" customHeight="1">
      <c r="E28" s="716"/>
    </row>
    <row r="29" spans="1:5" ht="26.45" customHeight="1">
      <c r="E29" s="717"/>
    </row>
    <row r="30" spans="1:5" ht="21.95" customHeight="1">
      <c r="C30"/>
      <c r="D30"/>
      <c r="E30" s="717"/>
    </row>
    <row r="31" spans="1:5">
      <c r="C31"/>
      <c r="D31"/>
      <c r="E31" s="716"/>
    </row>
    <row r="32" spans="1:5">
      <c r="C32"/>
      <c r="D32"/>
      <c r="E32" s="716"/>
    </row>
    <row r="33" spans="3:5">
      <c r="C33"/>
      <c r="D33"/>
      <c r="E33" s="713"/>
    </row>
    <row r="34" spans="3:5" ht="26.1" customHeight="1">
      <c r="C34"/>
      <c r="D34"/>
      <c r="E34" s="715"/>
    </row>
    <row r="35" spans="3:5" ht="39" customHeight="1">
      <c r="C35"/>
      <c r="D35"/>
      <c r="E35" s="713"/>
    </row>
    <row r="36" spans="3:5" ht="39" customHeight="1">
      <c r="C36"/>
      <c r="D36"/>
      <c r="E36" s="713"/>
    </row>
    <row r="37" spans="3:5">
      <c r="C37"/>
      <c r="D37"/>
      <c r="E37" s="713"/>
    </row>
    <row r="38" spans="3:5">
      <c r="C38"/>
      <c r="D38"/>
      <c r="E38" s="714"/>
    </row>
    <row r="39" spans="3:5" ht="18.600000000000001" customHeight="1">
      <c r="C39"/>
      <c r="D39"/>
      <c r="E39" s="714"/>
    </row>
    <row r="40" spans="3:5">
      <c r="C40"/>
      <c r="D40"/>
    </row>
    <row r="41" spans="3:5">
      <c r="C41"/>
      <c r="D41"/>
      <c r="E41" s="713"/>
    </row>
    <row r="42" spans="3:5">
      <c r="C42"/>
      <c r="D42"/>
    </row>
    <row r="47" spans="3:5" ht="14.45" customHeight="1"/>
    <row r="49" ht="14.45" customHeight="1"/>
  </sheetData>
  <mergeCells count="6">
    <mergeCell ref="A1:D1"/>
    <mergeCell ref="A27:B27"/>
    <mergeCell ref="A26:B26"/>
    <mergeCell ref="B2:B6"/>
    <mergeCell ref="C2:C6"/>
    <mergeCell ref="A2:A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filterMode="1"/>
  <dimension ref="A1:O30"/>
  <sheetViews>
    <sheetView zoomScale="90" zoomScaleNormal="90" workbookViewId="0">
      <selection activeCell="A5" sqref="A5"/>
    </sheetView>
  </sheetViews>
  <sheetFormatPr baseColWidth="10" defaultColWidth="11.42578125" defaultRowHeight="13.5"/>
  <cols>
    <col min="1" max="1" width="17.85546875" style="586" customWidth="1"/>
    <col min="2" max="2" width="52.5703125" style="586" customWidth="1"/>
    <col min="3" max="3" width="23.28515625" style="586" customWidth="1"/>
    <col min="4" max="4" width="19.140625" style="586" hidden="1" customWidth="1"/>
    <col min="5" max="5" width="18.28515625" style="586" hidden="1" customWidth="1"/>
    <col min="6" max="6" width="18.5703125" style="589" customWidth="1"/>
    <col min="7" max="7" width="40.140625" style="586" customWidth="1"/>
    <col min="8" max="8" width="22" style="586" customWidth="1"/>
    <col min="9" max="9" width="19.140625" style="588" customWidth="1"/>
    <col min="10" max="10" width="14.42578125" style="586" customWidth="1"/>
    <col min="11" max="11" width="20.140625" style="587" customWidth="1"/>
    <col min="12" max="16384" width="11.42578125" style="586"/>
  </cols>
  <sheetData>
    <row r="1" spans="1:15">
      <c r="A1" s="844" t="s">
        <v>719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614"/>
      <c r="N1" s="614"/>
      <c r="O1" s="614"/>
    </row>
    <row r="2" spans="1:15" ht="30" customHeight="1">
      <c r="A2" s="841" t="s">
        <v>718</v>
      </c>
      <c r="B2" s="842"/>
      <c r="C2" s="842"/>
      <c r="D2" s="842"/>
      <c r="E2" s="842"/>
      <c r="F2" s="842"/>
      <c r="G2" s="842"/>
      <c r="H2" s="843"/>
    </row>
    <row r="3" spans="1:15" ht="51">
      <c r="A3" s="613" t="s">
        <v>156</v>
      </c>
      <c r="B3" s="613" t="s">
        <v>669</v>
      </c>
      <c r="C3" s="613" t="s">
        <v>668</v>
      </c>
      <c r="D3" s="600" t="s">
        <v>667</v>
      </c>
      <c r="E3" s="600" t="s">
        <v>666</v>
      </c>
      <c r="F3" s="601" t="s">
        <v>665</v>
      </c>
      <c r="G3" s="600" t="s">
        <v>664</v>
      </c>
      <c r="H3" s="600" t="s">
        <v>663</v>
      </c>
      <c r="I3" s="612" t="s">
        <v>717</v>
      </c>
      <c r="J3" s="600" t="s">
        <v>716</v>
      </c>
      <c r="K3" s="601" t="s">
        <v>715</v>
      </c>
    </row>
    <row r="4" spans="1:15" ht="95.25" hidden="1" customHeight="1">
      <c r="A4" s="611">
        <v>2013000100217</v>
      </c>
      <c r="B4" s="604" t="s">
        <v>714</v>
      </c>
      <c r="C4" s="604" t="s">
        <v>682</v>
      </c>
      <c r="D4" s="604" t="s">
        <v>713</v>
      </c>
      <c r="E4" s="604" t="s">
        <v>659</v>
      </c>
      <c r="F4" s="603">
        <v>88867278</v>
      </c>
      <c r="G4" s="604" t="s">
        <v>704</v>
      </c>
      <c r="H4" s="604" t="s">
        <v>673</v>
      </c>
      <c r="I4" s="604" t="s">
        <v>712</v>
      </c>
      <c r="J4" s="604"/>
      <c r="K4" s="603"/>
    </row>
    <row r="5" spans="1:15" ht="67.5">
      <c r="A5" s="611">
        <v>2017000050061</v>
      </c>
      <c r="B5" s="604" t="s">
        <v>55</v>
      </c>
      <c r="C5" s="604" t="s">
        <v>706</v>
      </c>
      <c r="D5" s="604" t="s">
        <v>705</v>
      </c>
      <c r="E5" s="604" t="s">
        <v>659</v>
      </c>
      <c r="F5" s="603">
        <v>120225024</v>
      </c>
      <c r="G5" s="604" t="s">
        <v>704</v>
      </c>
      <c r="H5" s="604" t="s">
        <v>673</v>
      </c>
      <c r="I5" s="604" t="s">
        <v>711</v>
      </c>
      <c r="J5" s="604">
        <v>44152</v>
      </c>
      <c r="K5" s="603">
        <v>120225024</v>
      </c>
    </row>
    <row r="6" spans="1:15" ht="54">
      <c r="A6" s="611">
        <v>2013000050051</v>
      </c>
      <c r="B6" s="604" t="s">
        <v>710</v>
      </c>
      <c r="C6" s="604" t="s">
        <v>709</v>
      </c>
      <c r="D6" s="604" t="s">
        <v>708</v>
      </c>
      <c r="E6" s="604" t="s">
        <v>659</v>
      </c>
      <c r="F6" s="603">
        <v>1578069524.9200001</v>
      </c>
      <c r="G6" s="604" t="s">
        <v>704</v>
      </c>
      <c r="H6" s="604" t="s">
        <v>673</v>
      </c>
      <c r="I6" s="604" t="s">
        <v>690</v>
      </c>
      <c r="J6" s="604">
        <v>44053</v>
      </c>
      <c r="K6" s="603">
        <v>1578069524</v>
      </c>
    </row>
    <row r="7" spans="1:15" ht="40.5">
      <c r="A7" s="611">
        <v>2017000050062</v>
      </c>
      <c r="B7" s="604" t="s">
        <v>138</v>
      </c>
      <c r="C7" s="604" t="s">
        <v>639</v>
      </c>
      <c r="D7" s="604" t="s">
        <v>638</v>
      </c>
      <c r="E7" s="604" t="s">
        <v>637</v>
      </c>
      <c r="F7" s="603">
        <v>6801</v>
      </c>
      <c r="G7" s="604" t="s">
        <v>704</v>
      </c>
      <c r="H7" s="604" t="s">
        <v>673</v>
      </c>
      <c r="I7" s="604" t="s">
        <v>707</v>
      </c>
      <c r="J7" s="604">
        <v>44159</v>
      </c>
      <c r="K7" s="603">
        <v>6801</v>
      </c>
    </row>
    <row r="8" spans="1:15" ht="40.5">
      <c r="A8" s="611">
        <v>2019000050036</v>
      </c>
      <c r="B8" s="604" t="s">
        <v>53</v>
      </c>
      <c r="C8" s="604" t="s">
        <v>706</v>
      </c>
      <c r="D8" s="604" t="s">
        <v>705</v>
      </c>
      <c r="E8" s="604" t="s">
        <v>659</v>
      </c>
      <c r="F8" s="603">
        <v>410000001</v>
      </c>
      <c r="G8" s="604" t="s">
        <v>704</v>
      </c>
      <c r="H8" s="604" t="s">
        <v>673</v>
      </c>
      <c r="I8" s="604" t="s">
        <v>703</v>
      </c>
      <c r="J8" s="604">
        <v>44152</v>
      </c>
      <c r="K8" s="603">
        <v>410000001</v>
      </c>
    </row>
    <row r="9" spans="1:15" ht="40.5" hidden="1">
      <c r="A9" s="609">
        <v>2013000100247</v>
      </c>
      <c r="B9" s="605" t="s">
        <v>702</v>
      </c>
      <c r="C9" s="604" t="s">
        <v>682</v>
      </c>
      <c r="D9" s="610" t="s">
        <v>681</v>
      </c>
      <c r="E9" s="610" t="s">
        <v>659</v>
      </c>
      <c r="F9" s="603">
        <v>161259629</v>
      </c>
      <c r="G9" s="604" t="s">
        <v>701</v>
      </c>
      <c r="H9" s="604" t="s">
        <v>673</v>
      </c>
      <c r="I9" s="604" t="s">
        <v>700</v>
      </c>
      <c r="J9" s="604">
        <v>44279</v>
      </c>
      <c r="K9" s="603">
        <v>161259629</v>
      </c>
    </row>
    <row r="10" spans="1:15" ht="54">
      <c r="A10" s="609">
        <v>2012000050029</v>
      </c>
      <c r="B10" s="605" t="s">
        <v>699</v>
      </c>
      <c r="C10" s="604" t="s">
        <v>644</v>
      </c>
      <c r="D10" s="604" t="s">
        <v>643</v>
      </c>
      <c r="E10" s="604" t="s">
        <v>637</v>
      </c>
      <c r="F10" s="603">
        <v>270581613.88999999</v>
      </c>
      <c r="G10" s="604" t="s">
        <v>693</v>
      </c>
      <c r="H10" s="604" t="s">
        <v>673</v>
      </c>
      <c r="I10" s="604" t="s">
        <v>698</v>
      </c>
      <c r="J10" s="604">
        <v>44279</v>
      </c>
      <c r="K10" s="603">
        <v>270581613.88999999</v>
      </c>
    </row>
    <row r="11" spans="1:15" ht="40.5">
      <c r="A11" s="606">
        <v>2016000050005</v>
      </c>
      <c r="B11" s="605" t="s">
        <v>90</v>
      </c>
      <c r="C11" s="604" t="s">
        <v>629</v>
      </c>
      <c r="D11" s="604" t="s">
        <v>628</v>
      </c>
      <c r="E11" s="604" t="s">
        <v>627</v>
      </c>
      <c r="F11" s="608">
        <v>6557879125.0900002</v>
      </c>
      <c r="G11" s="604" t="s">
        <v>693</v>
      </c>
      <c r="H11" s="604" t="s">
        <v>673</v>
      </c>
      <c r="I11" s="604" t="s">
        <v>697</v>
      </c>
      <c r="J11" s="604">
        <v>44306</v>
      </c>
      <c r="K11" s="603">
        <v>6557879125.0900002</v>
      </c>
    </row>
    <row r="12" spans="1:15" ht="40.5">
      <c r="A12" s="606">
        <v>2017000050033</v>
      </c>
      <c r="B12" s="605" t="s">
        <v>696</v>
      </c>
      <c r="C12" s="604" t="s">
        <v>629</v>
      </c>
      <c r="D12" s="604" t="s">
        <v>628</v>
      </c>
      <c r="E12" s="604" t="s">
        <v>627</v>
      </c>
      <c r="F12" s="608">
        <v>10227801366</v>
      </c>
      <c r="G12" s="604" t="s">
        <v>693</v>
      </c>
      <c r="H12" s="604" t="s">
        <v>673</v>
      </c>
      <c r="I12" s="604" t="s">
        <v>695</v>
      </c>
      <c r="J12" s="604">
        <v>44306</v>
      </c>
      <c r="K12" s="603">
        <v>10227801366</v>
      </c>
    </row>
    <row r="13" spans="1:15" ht="40.5">
      <c r="A13" s="606">
        <v>2019000050044</v>
      </c>
      <c r="B13" s="605" t="s">
        <v>694</v>
      </c>
      <c r="C13" s="604" t="s">
        <v>629</v>
      </c>
      <c r="D13" s="604" t="s">
        <v>628</v>
      </c>
      <c r="E13" s="604" t="s">
        <v>627</v>
      </c>
      <c r="F13" s="603">
        <v>8552490333</v>
      </c>
      <c r="G13" s="604" t="s">
        <v>693</v>
      </c>
      <c r="H13" s="604" t="s">
        <v>673</v>
      </c>
      <c r="I13" s="604" t="s">
        <v>692</v>
      </c>
      <c r="J13" s="604">
        <v>44306</v>
      </c>
      <c r="K13" s="603">
        <v>8552490333</v>
      </c>
    </row>
    <row r="14" spans="1:15" ht="54">
      <c r="A14" s="606">
        <v>2013000050027</v>
      </c>
      <c r="B14" s="605" t="s">
        <v>691</v>
      </c>
      <c r="C14" s="604" t="s">
        <v>639</v>
      </c>
      <c r="D14" s="604" t="s">
        <v>638</v>
      </c>
      <c r="E14" s="604" t="s">
        <v>637</v>
      </c>
      <c r="F14" s="608">
        <v>96480472</v>
      </c>
      <c r="G14" s="604" t="s">
        <v>688</v>
      </c>
      <c r="H14" s="604" t="s">
        <v>673</v>
      </c>
      <c r="I14" s="604" t="s">
        <v>690</v>
      </c>
      <c r="J14" s="604">
        <v>44383</v>
      </c>
      <c r="K14" s="603">
        <v>96480472</v>
      </c>
    </row>
    <row r="15" spans="1:15" ht="27">
      <c r="A15" s="606">
        <v>2013000050028</v>
      </c>
      <c r="B15" s="605" t="s">
        <v>689</v>
      </c>
      <c r="C15" s="604" t="s">
        <v>639</v>
      </c>
      <c r="D15" s="604" t="s">
        <v>638</v>
      </c>
      <c r="E15" s="604" t="s">
        <v>637</v>
      </c>
      <c r="F15" s="603">
        <v>1400000</v>
      </c>
      <c r="G15" s="604" t="s">
        <v>688</v>
      </c>
      <c r="H15" s="604" t="s">
        <v>673</v>
      </c>
      <c r="I15" s="604" t="s">
        <v>687</v>
      </c>
      <c r="J15" s="604">
        <v>44383</v>
      </c>
      <c r="K15" s="603">
        <v>1400000</v>
      </c>
    </row>
    <row r="16" spans="1:15" ht="54">
      <c r="A16" s="606">
        <v>2017000050064</v>
      </c>
      <c r="B16" s="606" t="s">
        <v>62</v>
      </c>
      <c r="C16" s="606" t="s">
        <v>644</v>
      </c>
      <c r="D16" s="606" t="s">
        <v>686</v>
      </c>
      <c r="E16" s="606" t="s">
        <v>637</v>
      </c>
      <c r="F16" s="607">
        <v>538532739</v>
      </c>
      <c r="G16" s="606" t="s">
        <v>685</v>
      </c>
      <c r="H16" s="606"/>
      <c r="I16" s="604" t="s">
        <v>684</v>
      </c>
      <c r="J16" s="604">
        <v>44383</v>
      </c>
      <c r="K16" s="603">
        <v>538532739</v>
      </c>
    </row>
    <row r="17" spans="1:11" ht="67.5" hidden="1">
      <c r="A17" s="606">
        <v>2012000100056</v>
      </c>
      <c r="B17" s="606" t="s">
        <v>683</v>
      </c>
      <c r="C17" s="606" t="s">
        <v>682</v>
      </c>
      <c r="D17" s="606" t="s">
        <v>681</v>
      </c>
      <c r="E17" s="606" t="s">
        <v>659</v>
      </c>
      <c r="F17" s="607">
        <v>1994450</v>
      </c>
      <c r="G17" s="606" t="s">
        <v>680</v>
      </c>
      <c r="H17" s="606" t="s">
        <v>673</v>
      </c>
      <c r="I17" s="604" t="s">
        <v>679</v>
      </c>
      <c r="J17" s="604">
        <v>44490</v>
      </c>
      <c r="K17" s="603">
        <v>1994450</v>
      </c>
    </row>
    <row r="18" spans="1:11" ht="67.5">
      <c r="A18" s="606">
        <v>2020000050012</v>
      </c>
      <c r="B18" s="605" t="s">
        <v>678</v>
      </c>
      <c r="C18" s="604" t="s">
        <v>677</v>
      </c>
      <c r="D18" s="604" t="s">
        <v>676</v>
      </c>
      <c r="E18" s="604" t="s">
        <v>675</v>
      </c>
      <c r="F18" s="603">
        <v>1788572324</v>
      </c>
      <c r="G18" s="604" t="s">
        <v>674</v>
      </c>
      <c r="H18" s="604" t="s">
        <v>673</v>
      </c>
      <c r="I18" s="604" t="s">
        <v>672</v>
      </c>
      <c r="J18" s="604">
        <v>44389</v>
      </c>
      <c r="K18" s="603">
        <v>1788572324</v>
      </c>
    </row>
    <row r="19" spans="1:11" ht="30" customHeight="1">
      <c r="A19" s="841" t="s">
        <v>671</v>
      </c>
      <c r="B19" s="842"/>
      <c r="C19" s="842"/>
      <c r="D19" s="842"/>
      <c r="E19" s="842"/>
      <c r="F19" s="842"/>
      <c r="G19" s="842"/>
      <c r="H19" s="843"/>
      <c r="K19" s="602"/>
    </row>
    <row r="20" spans="1:11" ht="30" customHeight="1">
      <c r="A20" s="600" t="s">
        <v>156</v>
      </c>
      <c r="B20" s="600" t="s">
        <v>669</v>
      </c>
      <c r="C20" s="600" t="s">
        <v>668</v>
      </c>
      <c r="D20" s="600" t="s">
        <v>667</v>
      </c>
      <c r="E20" s="600" t="s">
        <v>666</v>
      </c>
      <c r="F20" s="601" t="s">
        <v>665</v>
      </c>
      <c r="G20" s="600" t="s">
        <v>664</v>
      </c>
      <c r="H20" s="600" t="s">
        <v>663</v>
      </c>
      <c r="K20" s="623">
        <f>+K18+K16+K15+K14+K13+K12+K11+K10+K8+K7+K6+K5</f>
        <v>30142039322.98</v>
      </c>
    </row>
    <row r="21" spans="1:11" hidden="1">
      <c r="A21" s="846" t="s">
        <v>670</v>
      </c>
      <c r="B21" s="847"/>
      <c r="C21" s="847"/>
      <c r="D21" s="847"/>
      <c r="E21" s="847"/>
      <c r="F21" s="847"/>
      <c r="G21" s="847"/>
      <c r="H21" s="848"/>
    </row>
    <row r="22" spans="1:11" ht="25.5">
      <c r="A22" s="599" t="s">
        <v>156</v>
      </c>
      <c r="B22" s="599" t="s">
        <v>669</v>
      </c>
      <c r="C22" s="599" t="s">
        <v>668</v>
      </c>
      <c r="D22" s="597" t="s">
        <v>667</v>
      </c>
      <c r="E22" s="597" t="s">
        <v>666</v>
      </c>
      <c r="F22" s="598" t="s">
        <v>665</v>
      </c>
      <c r="G22" s="597" t="s">
        <v>664</v>
      </c>
      <c r="H22" s="597" t="s">
        <v>663</v>
      </c>
    </row>
    <row r="23" spans="1:11" ht="81">
      <c r="A23" s="593">
        <v>2012000050025</v>
      </c>
      <c r="B23" s="592" t="s">
        <v>662</v>
      </c>
      <c r="C23" s="590" t="s">
        <v>661</v>
      </c>
      <c r="D23" s="590" t="s">
        <v>660</v>
      </c>
      <c r="E23" s="590" t="s">
        <v>659</v>
      </c>
      <c r="F23" s="591">
        <v>0</v>
      </c>
      <c r="G23" s="590" t="s">
        <v>658</v>
      </c>
      <c r="H23" s="590" t="s">
        <v>631</v>
      </c>
    </row>
    <row r="24" spans="1:11" ht="54">
      <c r="A24" s="593">
        <v>2012000050030</v>
      </c>
      <c r="B24" s="592" t="s">
        <v>657</v>
      </c>
      <c r="C24" s="590" t="s">
        <v>656</v>
      </c>
      <c r="D24" s="590" t="s">
        <v>655</v>
      </c>
      <c r="E24" s="590" t="s">
        <v>627</v>
      </c>
      <c r="F24" s="591">
        <v>86344549</v>
      </c>
      <c r="G24" s="590" t="s">
        <v>654</v>
      </c>
      <c r="H24" s="590" t="s">
        <v>625</v>
      </c>
    </row>
    <row r="25" spans="1:11" ht="61.5" customHeight="1">
      <c r="A25" s="593">
        <v>2018000050019</v>
      </c>
      <c r="B25" s="592" t="s">
        <v>653</v>
      </c>
      <c r="C25" s="590" t="s">
        <v>629</v>
      </c>
      <c r="D25" s="595" t="s">
        <v>628</v>
      </c>
      <c r="E25" s="595" t="s">
        <v>652</v>
      </c>
      <c r="F25" s="591">
        <v>9977891236</v>
      </c>
      <c r="G25" s="590" t="s">
        <v>651</v>
      </c>
      <c r="H25" s="590" t="s">
        <v>625</v>
      </c>
    </row>
    <row r="26" spans="1:11" ht="60.75" customHeight="1">
      <c r="A26" s="593">
        <v>2012000050010</v>
      </c>
      <c r="B26" s="592" t="s">
        <v>650</v>
      </c>
      <c r="C26" s="590" t="s">
        <v>649</v>
      </c>
      <c r="D26" s="595" t="s">
        <v>648</v>
      </c>
      <c r="E26" s="595" t="s">
        <v>647</v>
      </c>
      <c r="F26" s="591">
        <v>1000000</v>
      </c>
      <c r="G26" s="590" t="s">
        <v>646</v>
      </c>
      <c r="H26" s="590" t="s">
        <v>631</v>
      </c>
      <c r="I26" s="594"/>
    </row>
    <row r="27" spans="1:11" ht="83.25" customHeight="1">
      <c r="A27" s="593">
        <v>2013000050026</v>
      </c>
      <c r="B27" s="592" t="s">
        <v>645</v>
      </c>
      <c r="C27" s="590" t="s">
        <v>644</v>
      </c>
      <c r="D27" s="595" t="s">
        <v>643</v>
      </c>
      <c r="E27" s="595" t="s">
        <v>637</v>
      </c>
      <c r="F27" s="596">
        <v>577604962</v>
      </c>
      <c r="G27" s="590" t="s">
        <v>642</v>
      </c>
      <c r="H27" s="590" t="s">
        <v>641</v>
      </c>
      <c r="I27" s="594" t="s">
        <v>635</v>
      </c>
    </row>
    <row r="28" spans="1:11" ht="54">
      <c r="A28" s="593">
        <v>2012000050023</v>
      </c>
      <c r="B28" s="592" t="s">
        <v>640</v>
      </c>
      <c r="C28" s="590" t="s">
        <v>639</v>
      </c>
      <c r="D28" s="595" t="s">
        <v>638</v>
      </c>
      <c r="E28" s="595" t="s">
        <v>637</v>
      </c>
      <c r="F28" s="591">
        <v>1300000</v>
      </c>
      <c r="G28" s="590" t="s">
        <v>636</v>
      </c>
      <c r="H28" s="590" t="s">
        <v>625</v>
      </c>
      <c r="I28" s="594" t="s">
        <v>635</v>
      </c>
    </row>
    <row r="29" spans="1:11" ht="54">
      <c r="A29" s="593">
        <v>2017000050027</v>
      </c>
      <c r="B29" s="592" t="s">
        <v>634</v>
      </c>
      <c r="C29" s="590" t="s">
        <v>629</v>
      </c>
      <c r="D29" s="590" t="s">
        <v>628</v>
      </c>
      <c r="E29" s="590" t="s">
        <v>633</v>
      </c>
      <c r="F29" s="591">
        <v>1658580192</v>
      </c>
      <c r="G29" s="590" t="s">
        <v>632</v>
      </c>
      <c r="H29" s="590" t="s">
        <v>631</v>
      </c>
    </row>
    <row r="30" spans="1:11" ht="40.5">
      <c r="A30" s="593">
        <v>2019000050020</v>
      </c>
      <c r="B30" s="592" t="s">
        <v>630</v>
      </c>
      <c r="C30" s="590" t="s">
        <v>629</v>
      </c>
      <c r="D30" s="590" t="s">
        <v>628</v>
      </c>
      <c r="E30" s="590" t="s">
        <v>627</v>
      </c>
      <c r="F30" s="591"/>
      <c r="G30" s="590" t="s">
        <v>626</v>
      </c>
      <c r="H30" s="590" t="s">
        <v>625</v>
      </c>
    </row>
  </sheetData>
  <autoFilter ref="A3:H30" xr:uid="{00000000-0009-0000-0000-000016000000}">
    <filterColumn colId="0">
      <filters>
        <filter val="2012000050010"/>
        <filter val="2012000050023"/>
        <filter val="2012000050025"/>
        <filter val="2012000050029"/>
        <filter val="2012000050030"/>
        <filter val="2013000050026"/>
        <filter val="2013000050027"/>
        <filter val="2013000050028"/>
        <filter val="2013000050051"/>
        <filter val="2016000050005"/>
        <filter val="2017000050027"/>
        <filter val="2017000050033"/>
        <filter val="2017000050061"/>
        <filter val="2017000050062"/>
        <filter val="2017000050064"/>
        <filter val="2018000050019"/>
        <filter val="2019000050020"/>
        <filter val="2019000050036"/>
        <filter val="2019000050044"/>
        <filter val="2020000050012"/>
        <filter val="BPIN"/>
        <filter val="PROYECTOS PARA CIERRE EN TRAMITE  2021"/>
      </filters>
    </filterColumn>
  </autoFilter>
  <mergeCells count="4">
    <mergeCell ref="A2:H2"/>
    <mergeCell ref="A19:H19"/>
    <mergeCell ref="A1:L1"/>
    <mergeCell ref="A21:H21"/>
  </mergeCells>
  <pageMargins left="0.70866141732283472" right="0.70866141732283472" top="0.74803149606299213" bottom="0.74803149606299213" header="0.31496062992125984" footer="0.31496062992125984"/>
  <pageSetup scale="50" orientation="portrait" horizontalDpi="4294967293" verticalDpi="36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Y36"/>
  <sheetViews>
    <sheetView topLeftCell="A5" zoomScale="70" zoomScaleNormal="70" workbookViewId="0">
      <pane ySplit="1" topLeftCell="A11" activePane="bottomLeft" state="frozen"/>
      <selection activeCell="A5" sqref="A5"/>
      <selection pane="bottomLeft" activeCell="E16" sqref="E16"/>
    </sheetView>
  </sheetViews>
  <sheetFormatPr baseColWidth="10" defaultColWidth="11.42578125" defaultRowHeight="15"/>
  <cols>
    <col min="1" max="1" width="4.42578125" style="41" bestFit="1" customWidth="1"/>
    <col min="2" max="2" width="21.140625" style="41" hidden="1" customWidth="1"/>
    <col min="3" max="3" width="21" style="41" hidden="1" customWidth="1"/>
    <col min="4" max="4" width="19.28515625" style="41" bestFit="1" customWidth="1"/>
    <col min="5" max="5" width="39.28515625" style="41" customWidth="1"/>
    <col min="6" max="6" width="18.42578125" style="41" customWidth="1"/>
    <col min="7" max="7" width="10.5703125" style="41" hidden="1" customWidth="1"/>
    <col min="8" max="8" width="22.140625" style="41" customWidth="1"/>
    <col min="9" max="12" width="23.140625" style="41" customWidth="1"/>
    <col min="13" max="13" width="24.28515625" style="103" customWidth="1"/>
    <col min="14" max="14" width="26.7109375" style="103" customWidth="1"/>
    <col min="15" max="15" width="22.42578125" style="103" bestFit="1" customWidth="1"/>
    <col min="16" max="16" width="22.140625" style="103" customWidth="1"/>
    <col min="17" max="18" width="22.7109375" style="103" customWidth="1"/>
    <col min="19" max="19" width="21.28515625" style="103" customWidth="1"/>
    <col min="20" max="20" width="17.5703125" style="103" hidden="1" customWidth="1"/>
    <col min="21" max="21" width="23" style="103" customWidth="1"/>
    <col min="22" max="22" width="24.5703125" style="103" customWidth="1"/>
    <col min="23" max="23" width="24.7109375" style="126" customWidth="1"/>
    <col min="24" max="24" width="17.85546875" style="41" hidden="1" customWidth="1"/>
    <col min="25" max="25" width="22" style="41" bestFit="1" customWidth="1"/>
    <col min="26" max="26" width="41.28515625" style="41" customWidth="1"/>
    <col min="27" max="27" width="19" style="41" customWidth="1"/>
    <col min="28" max="16384" width="11.42578125" style="41"/>
  </cols>
  <sheetData>
    <row r="1" spans="1:23" ht="15" hidden="1" customHeight="1">
      <c r="A1" s="195"/>
      <c r="B1" s="195"/>
      <c r="C1" s="195"/>
      <c r="D1" s="849" t="s">
        <v>325</v>
      </c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196"/>
    </row>
    <row r="2" spans="1:23" ht="15.6" hidden="1" customHeight="1" thickBot="1">
      <c r="A2" s="195"/>
      <c r="B2" s="195"/>
      <c r="C2" s="195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196"/>
    </row>
    <row r="3" spans="1:23" ht="26.25" hidden="1" customHeight="1" thickBot="1">
      <c r="A3" s="442"/>
      <c r="B3" s="442"/>
      <c r="C3" s="442"/>
      <c r="D3" s="858" t="s">
        <v>529</v>
      </c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1" t="s">
        <v>536</v>
      </c>
    </row>
    <row r="4" spans="1:23" ht="26.25" hidden="1" customHeight="1" thickBot="1">
      <c r="A4" s="442"/>
      <c r="B4" s="442"/>
      <c r="C4" s="442"/>
      <c r="D4" s="858"/>
      <c r="E4" s="858"/>
      <c r="F4" s="858"/>
      <c r="G4" s="858"/>
      <c r="H4" s="858"/>
      <c r="I4" s="858"/>
      <c r="J4" s="858"/>
      <c r="K4" s="858"/>
      <c r="L4" s="858"/>
      <c r="M4" s="858"/>
      <c r="N4" s="858"/>
      <c r="O4" s="858"/>
      <c r="P4" s="858"/>
      <c r="Q4" s="858"/>
      <c r="R4" s="858"/>
      <c r="S4" s="858"/>
      <c r="T4" s="858"/>
      <c r="U4" s="858"/>
      <c r="V4" s="858"/>
      <c r="W4" s="851"/>
    </row>
    <row r="5" spans="1:23" ht="56.45" customHeight="1" thickBot="1">
      <c r="A5" s="442"/>
      <c r="B5" s="442"/>
      <c r="C5" s="442"/>
      <c r="D5" s="439" t="s">
        <v>156</v>
      </c>
      <c r="E5" s="439" t="s">
        <v>530</v>
      </c>
      <c r="F5" s="439" t="s">
        <v>154</v>
      </c>
      <c r="G5" s="443"/>
      <c r="H5" s="444" t="s">
        <v>360</v>
      </c>
      <c r="I5" s="444" t="s">
        <v>512</v>
      </c>
      <c r="J5" s="444" t="s">
        <v>513</v>
      </c>
      <c r="K5" s="444" t="s">
        <v>517</v>
      </c>
      <c r="L5" s="444" t="s">
        <v>528</v>
      </c>
      <c r="M5" s="444" t="s">
        <v>151</v>
      </c>
      <c r="N5" s="444" t="s">
        <v>150</v>
      </c>
      <c r="O5" s="444" t="s">
        <v>175</v>
      </c>
      <c r="P5" s="444" t="s">
        <v>176</v>
      </c>
      <c r="Q5" s="444" t="s">
        <v>148</v>
      </c>
      <c r="R5" s="444" t="s">
        <v>502</v>
      </c>
      <c r="S5" s="444" t="s">
        <v>177</v>
      </c>
      <c r="T5" s="444" t="s">
        <v>149</v>
      </c>
      <c r="U5" s="444" t="s">
        <v>147</v>
      </c>
      <c r="V5" s="444" t="s">
        <v>146</v>
      </c>
      <c r="W5" s="851"/>
    </row>
    <row r="6" spans="1:23" s="292" customFormat="1" ht="81.95" customHeight="1" thickBot="1">
      <c r="A6" s="445">
        <v>3</v>
      </c>
      <c r="B6" s="451"/>
      <c r="C6" s="451"/>
      <c r="D6" s="446"/>
      <c r="E6" s="447" t="s">
        <v>515</v>
      </c>
      <c r="F6" s="448" t="s">
        <v>12</v>
      </c>
      <c r="G6" s="452"/>
      <c r="H6" s="452"/>
      <c r="I6" s="449"/>
      <c r="J6" s="493">
        <v>11703968630</v>
      </c>
      <c r="K6" s="449"/>
      <c r="L6" s="449"/>
      <c r="M6" s="453"/>
      <c r="N6" s="453"/>
      <c r="O6" s="451"/>
      <c r="P6" s="451"/>
      <c r="Q6" s="451"/>
      <c r="R6" s="451"/>
      <c r="S6" s="451"/>
      <c r="T6" s="451"/>
      <c r="U6" s="451"/>
      <c r="V6" s="450">
        <f>SUM(H6:U6)</f>
        <v>11703968630</v>
      </c>
      <c r="W6" s="441">
        <v>52</v>
      </c>
    </row>
    <row r="7" spans="1:23" s="292" customFormat="1" ht="81.95" customHeight="1" thickBot="1">
      <c r="A7" s="445">
        <v>4</v>
      </c>
      <c r="B7" s="451"/>
      <c r="C7" s="451"/>
      <c r="D7" s="446"/>
      <c r="E7" s="464" t="s">
        <v>541</v>
      </c>
      <c r="F7" s="465" t="s">
        <v>542</v>
      </c>
      <c r="G7" s="452"/>
      <c r="H7" s="452"/>
      <c r="I7" s="449"/>
      <c r="J7" s="449"/>
      <c r="K7" s="449"/>
      <c r="L7" s="449"/>
      <c r="M7" s="453"/>
      <c r="N7" s="453"/>
      <c r="O7" s="466">
        <v>3500000000</v>
      </c>
      <c r="P7" s="451"/>
      <c r="Q7" s="451"/>
      <c r="R7" s="451"/>
      <c r="S7" s="451"/>
      <c r="T7" s="451"/>
      <c r="U7" s="451"/>
      <c r="V7" s="450"/>
      <c r="W7" s="441"/>
    </row>
    <row r="8" spans="1:23" ht="117.75" customHeight="1" thickBot="1">
      <c r="A8" s="445">
        <v>5</v>
      </c>
      <c r="B8" s="452"/>
      <c r="C8" s="452"/>
      <c r="D8" s="454"/>
      <c r="E8" s="455" t="s">
        <v>516</v>
      </c>
      <c r="F8" s="448" t="s">
        <v>12</v>
      </c>
      <c r="G8" s="452"/>
      <c r="H8" s="452"/>
      <c r="I8" s="449"/>
      <c r="J8" s="449"/>
      <c r="K8" s="449"/>
      <c r="L8" s="449"/>
      <c r="M8" s="453"/>
      <c r="N8" s="456"/>
      <c r="O8" s="457"/>
      <c r="P8" s="457"/>
      <c r="Q8" s="457"/>
      <c r="R8" s="457"/>
      <c r="S8" s="453"/>
      <c r="T8" s="457"/>
      <c r="U8" s="458"/>
      <c r="V8" s="450">
        <f t="shared" ref="V8:V16" si="0">SUM(H8:U8)</f>
        <v>0</v>
      </c>
      <c r="W8" s="441">
        <v>58</v>
      </c>
    </row>
    <row r="9" spans="1:23" ht="117.75" customHeight="1" thickBot="1">
      <c r="A9" s="445">
        <v>7</v>
      </c>
      <c r="B9" s="452"/>
      <c r="C9" s="452"/>
      <c r="D9" s="454"/>
      <c r="E9" s="455" t="s">
        <v>518</v>
      </c>
      <c r="F9" s="448" t="s">
        <v>531</v>
      </c>
      <c r="G9" s="452"/>
      <c r="H9" s="452"/>
      <c r="I9" s="449"/>
      <c r="J9" s="449">
        <v>6156000000</v>
      </c>
      <c r="K9" s="449"/>
      <c r="L9" s="449"/>
      <c r="M9" s="449"/>
      <c r="N9" s="449"/>
      <c r="O9" s="449"/>
      <c r="P9" s="457"/>
      <c r="Q9" s="457"/>
      <c r="R9" s="457"/>
      <c r="S9" s="453"/>
      <c r="T9" s="457"/>
      <c r="U9" s="458"/>
      <c r="V9" s="450">
        <f t="shared" si="0"/>
        <v>6156000000</v>
      </c>
      <c r="W9" s="441">
        <v>72</v>
      </c>
    </row>
    <row r="10" spans="1:23" ht="132.94999999999999" customHeight="1" thickBot="1">
      <c r="A10" s="445">
        <v>11</v>
      </c>
      <c r="B10" s="452"/>
      <c r="C10" s="452"/>
      <c r="D10" s="454"/>
      <c r="E10" s="455" t="s">
        <v>521</v>
      </c>
      <c r="F10" s="448" t="s">
        <v>344</v>
      </c>
      <c r="G10" s="452"/>
      <c r="H10" s="452"/>
      <c r="I10" s="449">
        <v>26000000000</v>
      </c>
      <c r="J10" s="449">
        <v>20000000000</v>
      </c>
      <c r="K10" s="449"/>
      <c r="L10" s="449"/>
      <c r="M10" s="449"/>
      <c r="N10" s="449"/>
      <c r="O10" s="449"/>
      <c r="P10" s="457"/>
      <c r="Q10" s="457"/>
      <c r="R10" s="457"/>
      <c r="S10" s="453"/>
      <c r="T10" s="457"/>
      <c r="U10" s="458"/>
      <c r="V10" s="450">
        <f t="shared" si="0"/>
        <v>46000000000</v>
      </c>
      <c r="W10" s="441">
        <v>9</v>
      </c>
    </row>
    <row r="11" spans="1:23" ht="117.75" customHeight="1" thickBot="1">
      <c r="A11" s="445">
        <v>12</v>
      </c>
      <c r="B11" s="452"/>
      <c r="C11" s="452"/>
      <c r="D11" s="454"/>
      <c r="E11" s="460" t="s">
        <v>522</v>
      </c>
      <c r="F11" s="448" t="s">
        <v>344</v>
      </c>
      <c r="G11" s="452"/>
      <c r="H11" s="452"/>
      <c r="I11" s="449">
        <v>15000000000</v>
      </c>
      <c r="J11" s="459"/>
      <c r="K11" s="449"/>
      <c r="L11" s="449"/>
      <c r="M11" s="449"/>
      <c r="N11" s="449"/>
      <c r="O11" s="449"/>
      <c r="P11" s="457"/>
      <c r="Q11" s="457"/>
      <c r="R11" s="457"/>
      <c r="S11" s="453"/>
      <c r="T11" s="457"/>
      <c r="U11" s="458"/>
      <c r="V11" s="450">
        <f t="shared" si="0"/>
        <v>15000000000</v>
      </c>
      <c r="W11" s="441">
        <v>9</v>
      </c>
    </row>
    <row r="12" spans="1:23" ht="117.75" customHeight="1" thickBot="1">
      <c r="A12" s="445">
        <v>14</v>
      </c>
      <c r="B12" s="452"/>
      <c r="C12" s="452"/>
      <c r="D12" s="454"/>
      <c r="E12" s="460" t="s">
        <v>523</v>
      </c>
      <c r="F12" s="448" t="s">
        <v>533</v>
      </c>
      <c r="G12" s="452"/>
      <c r="H12" s="452"/>
      <c r="I12" s="459"/>
      <c r="J12" s="461"/>
      <c r="K12" s="449"/>
      <c r="L12" s="449"/>
      <c r="M12" s="449"/>
      <c r="N12" s="449"/>
      <c r="O12" s="449"/>
      <c r="P12" s="457"/>
      <c r="Q12" s="457"/>
      <c r="R12" s="457"/>
      <c r="S12" s="453"/>
      <c r="T12" s="457"/>
      <c r="U12" s="458"/>
      <c r="V12" s="450">
        <f t="shared" si="0"/>
        <v>0</v>
      </c>
      <c r="W12" s="441">
        <v>55</v>
      </c>
    </row>
    <row r="13" spans="1:23" ht="117.75" customHeight="1" thickBot="1">
      <c r="A13" s="445">
        <v>15</v>
      </c>
      <c r="B13" s="452"/>
      <c r="C13" s="452"/>
      <c r="D13" s="454"/>
      <c r="E13" s="455" t="s">
        <v>524</v>
      </c>
      <c r="F13" s="448" t="s">
        <v>534</v>
      </c>
      <c r="G13" s="452"/>
      <c r="H13" s="452"/>
      <c r="I13" s="449">
        <v>0</v>
      </c>
      <c r="K13" s="449"/>
      <c r="L13" s="449"/>
      <c r="M13" s="449"/>
      <c r="N13" s="449"/>
      <c r="O13" s="449"/>
      <c r="P13" s="457"/>
      <c r="Q13" s="457"/>
      <c r="R13" s="457"/>
      <c r="S13" s="453"/>
      <c r="T13" s="457"/>
      <c r="U13" s="458"/>
      <c r="V13" s="450">
        <f t="shared" si="0"/>
        <v>0</v>
      </c>
      <c r="W13" s="441">
        <v>34</v>
      </c>
    </row>
    <row r="14" spans="1:23" ht="117.75" customHeight="1" thickBot="1">
      <c r="A14" s="445">
        <v>16</v>
      </c>
      <c r="B14" s="452"/>
      <c r="C14" s="452"/>
      <c r="D14" s="454"/>
      <c r="E14" s="455" t="s">
        <v>525</v>
      </c>
      <c r="F14" s="448" t="s">
        <v>538</v>
      </c>
      <c r="G14" s="452"/>
      <c r="H14" s="452"/>
      <c r="I14" s="467">
        <v>12500000000</v>
      </c>
      <c r="J14" s="449"/>
      <c r="K14" s="449"/>
      <c r="L14" s="449"/>
      <c r="M14" s="449"/>
      <c r="N14" s="449"/>
      <c r="O14" s="449"/>
      <c r="P14" s="457"/>
      <c r="Q14" s="457"/>
      <c r="R14" s="457"/>
      <c r="S14" s="453"/>
      <c r="T14" s="457"/>
      <c r="U14" s="458"/>
      <c r="V14" s="450">
        <f t="shared" si="0"/>
        <v>12500000000</v>
      </c>
      <c r="W14" s="441">
        <v>30</v>
      </c>
    </row>
    <row r="15" spans="1:23" ht="117.75" customHeight="1" thickBot="1">
      <c r="A15" s="445">
        <v>17</v>
      </c>
      <c r="B15" s="452"/>
      <c r="C15" s="452"/>
      <c r="D15" s="454"/>
      <c r="E15" s="455" t="s">
        <v>526</v>
      </c>
      <c r="F15" s="448" t="s">
        <v>532</v>
      </c>
      <c r="G15" s="452"/>
      <c r="H15" s="452"/>
      <c r="I15" s="449">
        <v>7874872500</v>
      </c>
      <c r="J15" s="449"/>
      <c r="K15" s="449"/>
      <c r="L15" s="449"/>
      <c r="M15" s="449"/>
      <c r="N15" s="449"/>
      <c r="O15" s="449"/>
      <c r="P15" s="457"/>
      <c r="Q15" s="457"/>
      <c r="R15" s="457"/>
      <c r="S15" s="453"/>
      <c r="T15" s="457"/>
      <c r="U15" s="458"/>
      <c r="V15" s="450">
        <f t="shared" si="0"/>
        <v>7874872500</v>
      </c>
      <c r="W15" s="441">
        <v>10</v>
      </c>
    </row>
    <row r="16" spans="1:23" ht="117.75" customHeight="1" thickBot="1">
      <c r="A16" s="445">
        <v>18</v>
      </c>
      <c r="B16" s="452"/>
      <c r="C16" s="452"/>
      <c r="D16" s="454"/>
      <c r="E16" s="455" t="s">
        <v>527</v>
      </c>
      <c r="F16" s="448" t="s">
        <v>535</v>
      </c>
      <c r="G16" s="452"/>
      <c r="H16" s="452"/>
      <c r="I16" s="452"/>
      <c r="J16" s="467">
        <v>19660766206</v>
      </c>
      <c r="K16" s="449"/>
      <c r="L16" s="449"/>
      <c r="M16" s="449"/>
      <c r="N16" s="449"/>
      <c r="O16" s="449"/>
      <c r="P16" s="457"/>
      <c r="Q16" s="457"/>
      <c r="R16" s="457"/>
      <c r="S16" s="453"/>
      <c r="T16" s="457"/>
      <c r="U16" s="458"/>
      <c r="V16" s="450">
        <f t="shared" si="0"/>
        <v>19660766206</v>
      </c>
      <c r="W16" s="441">
        <v>36</v>
      </c>
    </row>
    <row r="17" spans="1:25" ht="117.75" customHeight="1" thickBot="1">
      <c r="A17" s="445"/>
      <c r="B17" s="452"/>
      <c r="C17" s="452"/>
      <c r="D17" s="454"/>
      <c r="E17" s="455" t="s">
        <v>568</v>
      </c>
      <c r="F17" s="448"/>
      <c r="G17" s="452"/>
      <c r="H17" s="449">
        <v>2000000000</v>
      </c>
      <c r="I17" s="449">
        <v>10372507277</v>
      </c>
      <c r="J17" s="449"/>
      <c r="K17" s="449"/>
      <c r="L17" s="449"/>
      <c r="M17" s="449"/>
      <c r="N17" s="449"/>
      <c r="O17" s="449"/>
      <c r="P17" s="457"/>
      <c r="Q17" s="457"/>
      <c r="R17" s="457"/>
      <c r="S17" s="453"/>
      <c r="T17" s="457"/>
      <c r="U17" s="458"/>
      <c r="V17" s="450">
        <f>SUM(H17:U17)</f>
        <v>12372507277</v>
      </c>
      <c r="W17" s="497"/>
    </row>
    <row r="18" spans="1:25" ht="59.25" customHeight="1" thickBot="1">
      <c r="A18" s="852" t="s">
        <v>401</v>
      </c>
      <c r="B18" s="852"/>
      <c r="C18" s="852"/>
      <c r="D18" s="852"/>
      <c r="E18" s="852"/>
      <c r="F18" s="852"/>
      <c r="G18" s="462"/>
      <c r="H18" s="463">
        <f>SUM(H17)</f>
        <v>2000000000</v>
      </c>
      <c r="I18" s="463">
        <f>SUM(I6:I17)</f>
        <v>71747379777</v>
      </c>
      <c r="J18" s="463">
        <f>SUM(J6:J16)</f>
        <v>57520734836</v>
      </c>
      <c r="K18" s="463">
        <f>SUM(K6:K16)</f>
        <v>0</v>
      </c>
      <c r="L18" s="463"/>
      <c r="M18" s="463">
        <f t="shared" ref="M18:U18" si="1">SUM(M6:M16)</f>
        <v>0</v>
      </c>
      <c r="N18" s="463">
        <f t="shared" si="1"/>
        <v>0</v>
      </c>
      <c r="O18" s="463">
        <f t="shared" si="1"/>
        <v>3500000000</v>
      </c>
      <c r="P18" s="463">
        <f t="shared" si="1"/>
        <v>0</v>
      </c>
      <c r="Q18" s="463">
        <f t="shared" si="1"/>
        <v>0</v>
      </c>
      <c r="R18" s="463">
        <f t="shared" si="1"/>
        <v>0</v>
      </c>
      <c r="S18" s="463">
        <f t="shared" si="1"/>
        <v>0</v>
      </c>
      <c r="T18" s="463">
        <f t="shared" si="1"/>
        <v>0</v>
      </c>
      <c r="U18" s="463">
        <f t="shared" si="1"/>
        <v>0</v>
      </c>
      <c r="V18" s="463">
        <f>SUM(I18:U18)</f>
        <v>132768114613</v>
      </c>
    </row>
    <row r="19" spans="1:25">
      <c r="H19" s="272"/>
      <c r="I19" s="272"/>
      <c r="M19" s="258"/>
      <c r="N19" s="112"/>
    </row>
    <row r="20" spans="1:25" ht="47.25">
      <c r="E20" s="255">
        <v>1471506855.7581501</v>
      </c>
      <c r="G20" s="853"/>
      <c r="H20" s="436"/>
      <c r="I20" s="399" t="str">
        <f>+I5</f>
        <v>ASIGNACION PARA LA INVERSION 60%</v>
      </c>
      <c r="J20" s="397" t="s">
        <v>513</v>
      </c>
      <c r="K20" s="397" t="s">
        <v>517</v>
      </c>
      <c r="L20" s="397"/>
      <c r="M20" s="397" t="s">
        <v>151</v>
      </c>
      <c r="N20" s="397" t="s">
        <v>150</v>
      </c>
      <c r="O20" s="397" t="s">
        <v>175</v>
      </c>
      <c r="P20" s="397" t="s">
        <v>176</v>
      </c>
      <c r="Q20" s="397" t="s">
        <v>148</v>
      </c>
      <c r="R20" s="397" t="s">
        <v>502</v>
      </c>
      <c r="S20" s="397" t="s">
        <v>177</v>
      </c>
      <c r="T20" s="40" t="s">
        <v>149</v>
      </c>
      <c r="U20" s="40" t="s">
        <v>147</v>
      </c>
      <c r="V20" s="40" t="s">
        <v>146</v>
      </c>
      <c r="Y20" s="271"/>
    </row>
    <row r="21" spans="1:25" ht="15.75">
      <c r="E21" s="255">
        <f>+I17</f>
        <v>10372507277</v>
      </c>
      <c r="G21" s="854"/>
      <c r="H21" s="419"/>
      <c r="I21" s="113">
        <f>+I18</f>
        <v>71747379777</v>
      </c>
      <c r="J21" s="400">
        <f>+J18</f>
        <v>57520734836</v>
      </c>
      <c r="K21" s="400">
        <f>+K18</f>
        <v>0</v>
      </c>
      <c r="L21" s="400"/>
      <c r="M21" s="400">
        <f t="shared" ref="M21:V21" si="2">+M18</f>
        <v>0</v>
      </c>
      <c r="N21" s="400">
        <f t="shared" si="2"/>
        <v>0</v>
      </c>
      <c r="O21" s="400">
        <f t="shared" si="2"/>
        <v>3500000000</v>
      </c>
      <c r="P21" s="400">
        <f t="shared" si="2"/>
        <v>0</v>
      </c>
      <c r="Q21" s="400">
        <f t="shared" si="2"/>
        <v>0</v>
      </c>
      <c r="R21" s="400">
        <f t="shared" si="2"/>
        <v>0</v>
      </c>
      <c r="S21" s="400">
        <f t="shared" si="2"/>
        <v>0</v>
      </c>
      <c r="T21" s="400">
        <f t="shared" si="2"/>
        <v>0</v>
      </c>
      <c r="U21" s="400">
        <f t="shared" si="2"/>
        <v>0</v>
      </c>
      <c r="V21" s="400">
        <f t="shared" si="2"/>
        <v>132768114613</v>
      </c>
    </row>
    <row r="22" spans="1:25">
      <c r="E22" s="272">
        <v>12372507277</v>
      </c>
      <c r="Y22" s="272"/>
    </row>
    <row r="23" spans="1:25">
      <c r="E23" s="272">
        <f>+E22-E21</f>
        <v>2000000000</v>
      </c>
      <c r="M23" s="258"/>
    </row>
    <row r="24" spans="1:25">
      <c r="E24" s="272"/>
    </row>
    <row r="25" spans="1:25" ht="15.75" thickBot="1"/>
    <row r="26" spans="1:25" ht="31.5">
      <c r="A26" s="190" t="s">
        <v>159</v>
      </c>
      <c r="B26" s="191" t="s">
        <v>158</v>
      </c>
      <c r="C26" s="191" t="s">
        <v>157</v>
      </c>
      <c r="D26" s="192" t="s">
        <v>156</v>
      </c>
      <c r="E26" s="192" t="s">
        <v>155</v>
      </c>
      <c r="F26" s="192" t="s">
        <v>154</v>
      </c>
      <c r="G26" s="192" t="s">
        <v>152</v>
      </c>
      <c r="H26" s="192"/>
      <c r="I26" s="193" t="s">
        <v>360</v>
      </c>
      <c r="J26" s="433"/>
      <c r="K26" s="433"/>
      <c r="L26" s="433"/>
      <c r="V26" s="104"/>
    </row>
    <row r="27" spans="1:25">
      <c r="A27" s="194">
        <v>1</v>
      </c>
      <c r="B27" s="48"/>
      <c r="C27" s="48"/>
      <c r="D27" s="43"/>
      <c r="E27" s="277" t="s">
        <v>359</v>
      </c>
      <c r="F27" s="277"/>
      <c r="G27" s="48"/>
      <c r="H27" s="435"/>
      <c r="I27" s="52">
        <v>0</v>
      </c>
      <c r="J27" s="434"/>
      <c r="K27" s="434"/>
      <c r="L27" s="434"/>
    </row>
    <row r="34" spans="1:23" ht="26.25" customHeight="1"/>
    <row r="35" spans="1:23" ht="101.25" customHeight="1">
      <c r="A35" s="855">
        <v>2020</v>
      </c>
      <c r="B35" s="856"/>
      <c r="C35" s="856"/>
      <c r="D35" s="856"/>
      <c r="E35" s="856"/>
      <c r="F35" s="856"/>
      <c r="G35" s="856"/>
      <c r="H35" s="856"/>
      <c r="I35" s="856"/>
      <c r="J35" s="856"/>
      <c r="K35" s="856"/>
      <c r="L35" s="856"/>
      <c r="M35" s="856"/>
      <c r="N35" s="856"/>
      <c r="O35" s="856"/>
      <c r="P35" s="856"/>
      <c r="Q35" s="856"/>
      <c r="R35" s="856"/>
      <c r="S35" s="856"/>
      <c r="T35" s="856"/>
      <c r="U35" s="856"/>
      <c r="V35" s="857"/>
      <c r="W35" s="125"/>
    </row>
    <row r="36" spans="1:23" ht="101.25" customHeight="1">
      <c r="A36" s="94"/>
      <c r="B36" s="94"/>
      <c r="C36" s="94"/>
      <c r="D36" s="97"/>
      <c r="E36" s="95"/>
      <c r="F36" s="95"/>
      <c r="G36" s="94"/>
      <c r="H36" s="398"/>
      <c r="I36" s="398"/>
      <c r="J36" s="398"/>
      <c r="K36" s="398"/>
      <c r="L36" s="398"/>
      <c r="M36" s="110"/>
      <c r="N36" s="96"/>
      <c r="O36" s="110"/>
      <c r="P36" s="110"/>
      <c r="Q36" s="110"/>
      <c r="R36" s="401"/>
      <c r="S36" s="96"/>
      <c r="T36" s="110"/>
      <c r="U36" s="98"/>
      <c r="V36" s="111"/>
      <c r="W36" s="125"/>
    </row>
  </sheetData>
  <mergeCells count="6">
    <mergeCell ref="D1:V2"/>
    <mergeCell ref="W3:W5"/>
    <mergeCell ref="A18:F18"/>
    <mergeCell ref="G20:G21"/>
    <mergeCell ref="A35:V35"/>
    <mergeCell ref="D3:V4"/>
  </mergeCells>
  <conditionalFormatting sqref="W3 W6:W17">
    <cfRule type="cellIs" dxfId="6" priority="16" operator="lessThan">
      <formula>89</formula>
    </cfRule>
    <cfRule type="cellIs" dxfId="5" priority="17" operator="greaterThan">
      <formula>90</formula>
    </cfRule>
  </conditionalFormatting>
  <conditionalFormatting sqref="W3 W6:W17">
    <cfRule type="cellIs" dxfId="4" priority="11" operator="between">
      <formula>90</formula>
      <formula>100</formula>
    </cfRule>
    <cfRule type="cellIs" dxfId="3" priority="12" operator="between">
      <formula>1</formula>
      <formula>49</formula>
    </cfRule>
    <cfRule type="cellIs" dxfId="2" priority="13" operator="between">
      <formula>1</formula>
      <formula>49</formula>
    </cfRule>
    <cfRule type="cellIs" dxfId="1" priority="14" operator="between">
      <formula>50</formula>
      <formula>89</formula>
    </cfRule>
  </conditionalFormatting>
  <conditionalFormatting sqref="W3 W6:W17">
    <cfRule type="cellIs" dxfId="0" priority="10" operator="between">
      <formula>1</formula>
      <formula>59</formula>
    </cfRule>
  </conditionalFormatting>
  <conditionalFormatting sqref="W3 W6:W17">
    <cfRule type="iconSet" priority="394">
      <iconSet iconSet="3TrafficLights2">
        <cfvo type="percent" val="0"/>
        <cfvo type="num" val="60"/>
        <cfvo type="num" val="90"/>
      </iconSet>
    </cfRule>
  </conditionalFormatting>
  <pageMargins left="0.7" right="0.7" top="0.75" bottom="0.75" header="0.3" footer="0.3"/>
  <pageSetup scale="30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D3:G11"/>
  <sheetViews>
    <sheetView topLeftCell="A5" workbookViewId="0">
      <selection activeCell="D10" sqref="D10"/>
    </sheetView>
  </sheetViews>
  <sheetFormatPr baseColWidth="10" defaultRowHeight="15"/>
  <cols>
    <col min="4" max="4" width="23.5703125" bestFit="1" customWidth="1"/>
    <col min="5" max="5" width="62.28515625" customWidth="1"/>
    <col min="6" max="6" width="17" customWidth="1"/>
    <col min="7" max="7" width="19.5703125" customWidth="1"/>
  </cols>
  <sheetData>
    <row r="3" spans="4:7">
      <c r="D3" s="256">
        <v>15355656151</v>
      </c>
    </row>
    <row r="4" spans="4:7">
      <c r="D4" s="251">
        <v>37666131862</v>
      </c>
    </row>
    <row r="8" spans="4:7" ht="15.75" thickBot="1"/>
    <row r="9" spans="4:7" ht="33" customHeight="1">
      <c r="D9" s="268" t="s">
        <v>350</v>
      </c>
      <c r="E9" s="269" t="s">
        <v>351</v>
      </c>
      <c r="F9" s="269" t="s">
        <v>275</v>
      </c>
      <c r="G9" s="270" t="s">
        <v>352</v>
      </c>
    </row>
    <row r="10" spans="4:7" ht="64.5" customHeight="1">
      <c r="D10" s="262">
        <v>2018000050036</v>
      </c>
      <c r="E10" s="260" t="s">
        <v>243</v>
      </c>
      <c r="F10" s="261" t="s">
        <v>235</v>
      </c>
      <c r="G10" s="263">
        <v>2105788182</v>
      </c>
    </row>
    <row r="11" spans="4:7" ht="43.5" thickBot="1">
      <c r="D11" s="264">
        <v>2019000050037</v>
      </c>
      <c r="E11" s="265" t="s">
        <v>253</v>
      </c>
      <c r="F11" s="266" t="s">
        <v>150</v>
      </c>
      <c r="G11" s="267">
        <v>4936307506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D23"/>
  <sheetViews>
    <sheetView topLeftCell="A6" workbookViewId="0">
      <selection activeCell="C4" sqref="C4"/>
    </sheetView>
  </sheetViews>
  <sheetFormatPr baseColWidth="10" defaultRowHeight="15"/>
  <cols>
    <col min="2" max="2" width="35.7109375" customWidth="1"/>
    <col min="3" max="3" width="27.140625" customWidth="1"/>
  </cols>
  <sheetData>
    <row r="2" spans="1:4">
      <c r="B2" s="859" t="s">
        <v>450</v>
      </c>
      <c r="C2" s="859"/>
    </row>
    <row r="3" spans="1:4">
      <c r="B3" s="288" t="s">
        <v>386</v>
      </c>
      <c r="C3" s="287">
        <f>+'SALDOS 2020'!B11</f>
        <v>223253063729.37689</v>
      </c>
    </row>
    <row r="4" spans="1:4">
      <c r="A4" s="286" t="s">
        <v>391</v>
      </c>
      <c r="B4" s="288" t="s">
        <v>387</v>
      </c>
      <c r="C4" s="287">
        <f>+'SALDOS 2020'!C11</f>
        <v>194651539381.77002</v>
      </c>
    </row>
    <row r="5" spans="1:4">
      <c r="A5" s="285" t="s">
        <v>392</v>
      </c>
      <c r="B5" s="288" t="s">
        <v>445</v>
      </c>
      <c r="C5" s="287">
        <f>+C3-C4</f>
        <v>28601524347.606873</v>
      </c>
    </row>
    <row r="6" spans="1:4">
      <c r="A6" s="286"/>
    </row>
    <row r="7" spans="1:4" ht="39" customHeight="1">
      <c r="A7" s="286" t="s">
        <v>392</v>
      </c>
      <c r="B7" s="324" t="s">
        <v>389</v>
      </c>
      <c r="C7" s="325">
        <f>+C5</f>
        <v>28601524347.606873</v>
      </c>
    </row>
    <row r="9" spans="1:4">
      <c r="A9" s="861" t="s">
        <v>391</v>
      </c>
      <c r="B9" s="860" t="s">
        <v>448</v>
      </c>
      <c r="C9" s="862">
        <f>+'SALDOS 2020'!E11</f>
        <v>0</v>
      </c>
    </row>
    <row r="10" spans="1:4">
      <c r="A10" s="861"/>
      <c r="B10" s="860"/>
      <c r="C10" s="863"/>
    </row>
    <row r="11" spans="1:4">
      <c r="A11" s="301"/>
      <c r="B11" s="311"/>
      <c r="C11" s="312"/>
    </row>
    <row r="12" spans="1:4" ht="21">
      <c r="A12" s="301" t="s">
        <v>392</v>
      </c>
      <c r="B12" s="324" t="s">
        <v>443</v>
      </c>
      <c r="C12" s="325">
        <f>+C7-C9</f>
        <v>28601524347.606873</v>
      </c>
    </row>
    <row r="13" spans="1:4">
      <c r="A13" s="301"/>
      <c r="B13" s="311"/>
      <c r="C13" s="312"/>
    </row>
    <row r="14" spans="1:4">
      <c r="A14" s="301"/>
      <c r="B14" s="313" t="s">
        <v>441</v>
      </c>
      <c r="C14" s="322">
        <f>+C12</f>
        <v>28601524347.606873</v>
      </c>
    </row>
    <row r="15" spans="1:4">
      <c r="A15" s="301" t="s">
        <v>390</v>
      </c>
      <c r="B15" s="313" t="s">
        <v>444</v>
      </c>
      <c r="C15" s="310"/>
    </row>
    <row r="16" spans="1:4">
      <c r="A16" s="301" t="s">
        <v>391</v>
      </c>
      <c r="B16" s="313" t="s">
        <v>387</v>
      </c>
      <c r="C16" s="310"/>
      <c r="D16" t="s">
        <v>447</v>
      </c>
    </row>
    <row r="17" spans="1:3">
      <c r="A17" s="301" t="s">
        <v>392</v>
      </c>
      <c r="B17" s="313" t="s">
        <v>445</v>
      </c>
      <c r="C17" s="322">
        <f>+C14+C15-C16</f>
        <v>28601524347.606873</v>
      </c>
    </row>
    <row r="18" spans="1:3">
      <c r="A18" s="301"/>
      <c r="B18" s="319"/>
      <c r="C18" s="312"/>
    </row>
    <row r="19" spans="1:3" ht="21">
      <c r="A19" s="301" t="s">
        <v>392</v>
      </c>
      <c r="B19" s="324" t="s">
        <v>388</v>
      </c>
      <c r="C19" s="325">
        <f>+C17</f>
        <v>28601524347.606873</v>
      </c>
    </row>
    <row r="20" spans="1:3">
      <c r="A20" s="301"/>
      <c r="B20" s="320"/>
      <c r="C20" s="312"/>
    </row>
    <row r="21" spans="1:3">
      <c r="A21" s="301" t="s">
        <v>391</v>
      </c>
      <c r="B21" s="321" t="s">
        <v>449</v>
      </c>
      <c r="C21" s="323">
        <f>+'SALDOS 2020'!F11</f>
        <v>0</v>
      </c>
    </row>
    <row r="22" spans="1:3">
      <c r="A22" s="301"/>
      <c r="B22" s="320"/>
      <c r="C22" s="312"/>
    </row>
    <row r="23" spans="1:3" ht="21">
      <c r="A23" s="301" t="s">
        <v>392</v>
      </c>
      <c r="B23" s="324" t="s">
        <v>446</v>
      </c>
      <c r="C23" s="326">
        <f>+C19-C21</f>
        <v>28601524347.606873</v>
      </c>
    </row>
  </sheetData>
  <mergeCells count="4">
    <mergeCell ref="B2:C2"/>
    <mergeCell ref="B9:B10"/>
    <mergeCell ref="A9:A10"/>
    <mergeCell ref="C9:C10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2:R26"/>
  <sheetViews>
    <sheetView zoomScale="71" zoomScaleNormal="71" workbookViewId="0">
      <selection activeCell="E1" sqref="E1"/>
    </sheetView>
  </sheetViews>
  <sheetFormatPr baseColWidth="10" defaultColWidth="11.42578125" defaultRowHeight="15"/>
  <cols>
    <col min="1" max="1" width="6.42578125" style="41" customWidth="1"/>
    <col min="2" max="2" width="16.7109375" style="41" hidden="1" customWidth="1"/>
    <col min="3" max="3" width="19.42578125" style="41" hidden="1" customWidth="1"/>
    <col min="4" max="4" width="20.7109375" style="41" hidden="1" customWidth="1"/>
    <col min="5" max="5" width="33.42578125" style="41" customWidth="1"/>
    <col min="6" max="6" width="22.28515625" style="41" customWidth="1"/>
    <col min="7" max="7" width="23" style="41" customWidth="1"/>
    <col min="8" max="8" width="0" style="41" hidden="1" customWidth="1"/>
    <col min="9" max="10" width="27.28515625" style="41" bestFit="1" customWidth="1"/>
    <col min="11" max="11" width="17.85546875" style="41" hidden="1" customWidth="1"/>
    <col min="12" max="12" width="23.5703125" style="41" hidden="1" customWidth="1"/>
    <col min="13" max="13" width="16.5703125" style="41" hidden="1" customWidth="1"/>
    <col min="14" max="14" width="25.140625" style="41" hidden="1" customWidth="1"/>
    <col min="15" max="15" width="17.7109375" style="41" customWidth="1"/>
    <col min="16" max="16" width="18.7109375" style="41" customWidth="1"/>
    <col min="17" max="17" width="26" style="41" bestFit="1" customWidth="1"/>
    <col min="18" max="18" width="0" style="41" hidden="1" customWidth="1"/>
    <col min="19" max="20" width="11.42578125" style="41"/>
    <col min="21" max="21" width="22.42578125" style="41" bestFit="1" customWidth="1"/>
    <col min="22" max="22" width="25.140625" style="41" bestFit="1" customWidth="1"/>
    <col min="23" max="16384" width="11.42578125" style="41"/>
  </cols>
  <sheetData>
    <row r="2" spans="1:18" ht="26.25">
      <c r="A2" s="867">
        <v>2019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149"/>
    </row>
    <row r="3" spans="1:18" ht="94.5">
      <c r="A3" s="17" t="s">
        <v>159</v>
      </c>
      <c r="B3" s="17" t="s">
        <v>158</v>
      </c>
      <c r="C3" s="17" t="s">
        <v>157</v>
      </c>
      <c r="D3" s="18" t="s">
        <v>156</v>
      </c>
      <c r="E3" s="18" t="s">
        <v>155</v>
      </c>
      <c r="F3" s="18" t="s">
        <v>154</v>
      </c>
      <c r="G3" s="18" t="s">
        <v>153</v>
      </c>
      <c r="H3" s="18" t="s">
        <v>152</v>
      </c>
      <c r="I3" s="19" t="s">
        <v>151</v>
      </c>
      <c r="J3" s="19" t="s">
        <v>174</v>
      </c>
      <c r="K3" s="19" t="s">
        <v>175</v>
      </c>
      <c r="L3" s="19" t="s">
        <v>176</v>
      </c>
      <c r="M3" s="19" t="s">
        <v>148</v>
      </c>
      <c r="N3" s="19" t="s">
        <v>177</v>
      </c>
      <c r="O3" s="19" t="s">
        <v>149</v>
      </c>
      <c r="P3" s="19" t="s">
        <v>147</v>
      </c>
      <c r="Q3" s="19" t="s">
        <v>146</v>
      </c>
      <c r="R3" s="55" t="s">
        <v>167</v>
      </c>
    </row>
    <row r="4" spans="1:18" s="103" customFormat="1" ht="30">
      <c r="A4" s="85">
        <v>1</v>
      </c>
      <c r="B4" s="85"/>
      <c r="C4" s="85"/>
      <c r="D4" s="85"/>
      <c r="E4" s="36" t="s">
        <v>220</v>
      </c>
      <c r="F4" s="152" t="s">
        <v>215</v>
      </c>
      <c r="G4" s="28" t="s">
        <v>221</v>
      </c>
      <c r="H4" s="85"/>
      <c r="I4" s="84">
        <v>13000000000</v>
      </c>
      <c r="J4" s="85"/>
      <c r="K4" s="85"/>
      <c r="L4" s="85"/>
      <c r="M4" s="85"/>
      <c r="N4" s="85"/>
      <c r="O4" s="85"/>
      <c r="P4" s="85"/>
      <c r="Q4" s="114">
        <f>+SUM(I4:P4)</f>
        <v>13000000000</v>
      </c>
    </row>
    <row r="5" spans="1:18" ht="30">
      <c r="A5" s="85">
        <v>2</v>
      </c>
      <c r="B5" s="42"/>
      <c r="C5" s="42"/>
      <c r="D5" s="42"/>
      <c r="E5" s="36" t="s">
        <v>213</v>
      </c>
      <c r="F5" s="28" t="s">
        <v>12</v>
      </c>
      <c r="G5" s="28" t="s">
        <v>11</v>
      </c>
      <c r="H5" s="85"/>
      <c r="I5" s="115">
        <v>5000000000</v>
      </c>
      <c r="J5" s="47">
        <v>0</v>
      </c>
      <c r="K5" s="85"/>
      <c r="L5" s="85"/>
      <c r="M5" s="85"/>
      <c r="N5" s="85"/>
      <c r="O5" s="85"/>
      <c r="P5" s="85"/>
      <c r="Q5" s="114">
        <f>+SUM(I5:P5)</f>
        <v>5000000000</v>
      </c>
    </row>
    <row r="6" spans="1:18" ht="15.75">
      <c r="A6" s="866" t="s">
        <v>217</v>
      </c>
      <c r="B6" s="866"/>
      <c r="C6" s="866"/>
      <c r="D6" s="866"/>
      <c r="E6" s="866"/>
      <c r="F6" s="866"/>
      <c r="G6" s="866"/>
      <c r="H6" s="57"/>
      <c r="I6" s="89">
        <f t="shared" ref="I6:Q6" si="0">+SUM(I4:I5)</f>
        <v>18000000000</v>
      </c>
      <c r="J6" s="89">
        <f t="shared" si="0"/>
        <v>0</v>
      </c>
      <c r="K6" s="89">
        <f t="shared" si="0"/>
        <v>0</v>
      </c>
      <c r="L6" s="89">
        <f t="shared" si="0"/>
        <v>0</v>
      </c>
      <c r="M6" s="89">
        <f t="shared" si="0"/>
        <v>0</v>
      </c>
      <c r="N6" s="89">
        <f t="shared" si="0"/>
        <v>0</v>
      </c>
      <c r="O6" s="89">
        <f t="shared" si="0"/>
        <v>0</v>
      </c>
      <c r="P6" s="89">
        <f t="shared" si="0"/>
        <v>0</v>
      </c>
      <c r="Q6" s="89">
        <f t="shared" si="0"/>
        <v>18000000000</v>
      </c>
    </row>
    <row r="8" spans="1:18" ht="31.5">
      <c r="G8" s="864" t="s">
        <v>217</v>
      </c>
      <c r="H8" s="853"/>
      <c r="I8" s="40" t="s">
        <v>151</v>
      </c>
      <c r="J8" s="40" t="s">
        <v>150</v>
      </c>
      <c r="K8" s="40" t="s">
        <v>175</v>
      </c>
      <c r="L8" s="40" t="s">
        <v>176</v>
      </c>
      <c r="M8" s="40" t="s">
        <v>148</v>
      </c>
      <c r="N8" s="40" t="s">
        <v>177</v>
      </c>
      <c r="O8" s="40" t="s">
        <v>149</v>
      </c>
      <c r="P8" s="40" t="s">
        <v>147</v>
      </c>
      <c r="Q8" s="40" t="s">
        <v>146</v>
      </c>
    </row>
    <row r="9" spans="1:18">
      <c r="G9" s="865"/>
      <c r="H9" s="854"/>
      <c r="I9" s="56">
        <f>+I6</f>
        <v>18000000000</v>
      </c>
      <c r="J9" s="56">
        <f>+J6</f>
        <v>0</v>
      </c>
      <c r="K9" s="56">
        <f t="shared" ref="K9:P9" si="1">+K6</f>
        <v>0</v>
      </c>
      <c r="L9" s="56">
        <f t="shared" si="1"/>
        <v>0</v>
      </c>
      <c r="M9" s="56">
        <f t="shared" si="1"/>
        <v>0</v>
      </c>
      <c r="N9" s="56">
        <f t="shared" si="1"/>
        <v>0</v>
      </c>
      <c r="O9" s="56">
        <f t="shared" si="1"/>
        <v>0</v>
      </c>
      <c r="P9" s="56">
        <f t="shared" si="1"/>
        <v>0</v>
      </c>
      <c r="Q9" s="45">
        <f>+Q6</f>
        <v>18000000000</v>
      </c>
    </row>
    <row r="15" spans="1:18" ht="27" customHeight="1">
      <c r="A15" s="867">
        <v>2020</v>
      </c>
      <c r="B15" s="867"/>
      <c r="C15" s="867"/>
      <c r="D15" s="867"/>
      <c r="E15" s="867"/>
      <c r="F15" s="867"/>
      <c r="G15" s="867"/>
      <c r="H15" s="867"/>
      <c r="I15" s="867"/>
      <c r="J15" s="867"/>
      <c r="K15" s="867"/>
      <c r="L15" s="867"/>
      <c r="M15" s="867"/>
      <c r="N15" s="867"/>
      <c r="O15" s="867"/>
      <c r="P15" s="867"/>
      <c r="Q15" s="867"/>
    </row>
    <row r="16" spans="1:18" ht="72">
      <c r="A16" s="17" t="s">
        <v>159</v>
      </c>
      <c r="B16" s="17" t="s">
        <v>158</v>
      </c>
      <c r="C16" s="17" t="s">
        <v>157</v>
      </c>
      <c r="D16" s="18" t="s">
        <v>156</v>
      </c>
      <c r="E16" s="18" t="s">
        <v>155</v>
      </c>
      <c r="F16" s="18" t="s">
        <v>154</v>
      </c>
      <c r="G16" s="18" t="s">
        <v>153</v>
      </c>
      <c r="H16" s="18" t="s">
        <v>152</v>
      </c>
      <c r="I16" s="19" t="s">
        <v>151</v>
      </c>
      <c r="J16" s="19" t="s">
        <v>174</v>
      </c>
      <c r="K16" s="19" t="s">
        <v>175</v>
      </c>
      <c r="L16" s="19" t="s">
        <v>176</v>
      </c>
      <c r="M16" s="19" t="s">
        <v>148</v>
      </c>
      <c r="N16" s="19" t="s">
        <v>177</v>
      </c>
      <c r="O16" s="19" t="s">
        <v>149</v>
      </c>
      <c r="P16" s="19" t="s">
        <v>147</v>
      </c>
      <c r="Q16" s="19" t="s">
        <v>146</v>
      </c>
    </row>
    <row r="17" spans="1:17" ht="45">
      <c r="A17" s="85">
        <v>1</v>
      </c>
      <c r="B17" s="42"/>
      <c r="C17" s="42"/>
      <c r="D17" s="42"/>
      <c r="E17" s="36" t="s">
        <v>214</v>
      </c>
      <c r="F17" s="28" t="s">
        <v>12</v>
      </c>
      <c r="G17" s="28" t="s">
        <v>216</v>
      </c>
      <c r="H17" s="85"/>
      <c r="I17" s="84">
        <v>30500000000</v>
      </c>
      <c r="J17" s="84"/>
      <c r="K17" s="85"/>
      <c r="L17" s="85"/>
      <c r="M17" s="85"/>
      <c r="N17" s="85"/>
      <c r="O17" s="85"/>
      <c r="P17" s="85"/>
      <c r="Q17" s="150">
        <f>+SUM(I17:P17)</f>
        <v>30500000000</v>
      </c>
    </row>
    <row r="18" spans="1:17" s="103" customFormat="1" ht="37.5" customHeight="1">
      <c r="A18" s="85">
        <v>2</v>
      </c>
      <c r="B18" s="85"/>
      <c r="C18" s="85"/>
      <c r="D18" s="85"/>
      <c r="E18" s="36" t="s">
        <v>222</v>
      </c>
      <c r="F18" s="148" t="s">
        <v>223</v>
      </c>
      <c r="G18" s="28" t="s">
        <v>222</v>
      </c>
      <c r="H18" s="85"/>
      <c r="I18" s="114">
        <v>43936000000</v>
      </c>
      <c r="J18" s="47"/>
      <c r="K18" s="85"/>
      <c r="L18" s="85"/>
      <c r="M18" s="85"/>
      <c r="N18" s="85"/>
      <c r="O18" s="85"/>
      <c r="P18" s="85"/>
      <c r="Q18" s="150">
        <f>+I18</f>
        <v>43936000000</v>
      </c>
    </row>
    <row r="19" spans="1:17" s="103" customFormat="1" ht="30">
      <c r="A19" s="85">
        <v>3</v>
      </c>
      <c r="B19" s="85"/>
      <c r="C19" s="85"/>
      <c r="D19" s="85"/>
      <c r="E19" s="36" t="s">
        <v>220</v>
      </c>
      <c r="F19" s="148" t="s">
        <v>215</v>
      </c>
      <c r="G19" s="28" t="s">
        <v>221</v>
      </c>
      <c r="H19" s="85"/>
      <c r="I19" s="84">
        <v>20000000000</v>
      </c>
      <c r="J19" s="84"/>
      <c r="K19" s="85"/>
      <c r="L19" s="85"/>
      <c r="M19" s="85"/>
      <c r="N19" s="85"/>
      <c r="O19" s="85"/>
      <c r="P19" s="85"/>
      <c r="Q19" s="150">
        <f t="shared" ref="Q19:Q25" si="2">+SUM(I19:P19)</f>
        <v>20000000000</v>
      </c>
    </row>
    <row r="20" spans="1:17" ht="89.25" customHeight="1">
      <c r="A20" s="85">
        <v>4</v>
      </c>
      <c r="B20" s="85"/>
      <c r="C20" s="85"/>
      <c r="D20" s="85"/>
      <c r="E20" s="36" t="s">
        <v>271</v>
      </c>
      <c r="F20" s="148" t="s">
        <v>263</v>
      </c>
      <c r="G20" s="28"/>
      <c r="H20" s="85"/>
      <c r="I20" s="84"/>
      <c r="J20" s="84">
        <v>4874511061</v>
      </c>
      <c r="K20" s="85"/>
      <c r="L20" s="85"/>
      <c r="M20" s="85"/>
      <c r="N20" s="85"/>
      <c r="O20" s="85"/>
      <c r="P20" s="85"/>
      <c r="Q20" s="150">
        <f t="shared" si="2"/>
        <v>4874511061</v>
      </c>
    </row>
    <row r="21" spans="1:17" ht="37.5" customHeight="1">
      <c r="A21" s="85">
        <v>5</v>
      </c>
      <c r="B21" s="85"/>
      <c r="C21" s="85"/>
      <c r="D21" s="85"/>
      <c r="E21" s="36" t="s">
        <v>265</v>
      </c>
      <c r="F21" s="148" t="s">
        <v>264</v>
      </c>
      <c r="G21" s="28" t="s">
        <v>265</v>
      </c>
      <c r="H21" s="85"/>
      <c r="I21" s="84">
        <v>16000000000</v>
      </c>
      <c r="J21" s="84"/>
      <c r="K21" s="85"/>
      <c r="L21" s="85"/>
      <c r="M21" s="85"/>
      <c r="N21" s="85"/>
      <c r="O21" s="85"/>
      <c r="P21" s="85"/>
      <c r="Q21" s="150">
        <f t="shared" si="2"/>
        <v>16000000000</v>
      </c>
    </row>
    <row r="22" spans="1:17" ht="24.75" customHeight="1">
      <c r="A22" s="85">
        <v>6</v>
      </c>
      <c r="B22" s="85"/>
      <c r="C22" s="85"/>
      <c r="D22" s="85"/>
      <c r="E22" s="36" t="s">
        <v>266</v>
      </c>
      <c r="F22" s="148" t="s">
        <v>12</v>
      </c>
      <c r="G22" s="28" t="s">
        <v>11</v>
      </c>
      <c r="H22" s="85"/>
      <c r="I22" s="84">
        <v>8200000000</v>
      </c>
      <c r="J22" s="84"/>
      <c r="K22" s="85"/>
      <c r="L22" s="85"/>
      <c r="M22" s="85"/>
      <c r="N22" s="85"/>
      <c r="O22" s="85"/>
      <c r="P22" s="85"/>
      <c r="Q22" s="150">
        <f t="shared" si="2"/>
        <v>8200000000</v>
      </c>
    </row>
    <row r="23" spans="1:17" ht="45">
      <c r="A23" s="85">
        <v>7</v>
      </c>
      <c r="B23" s="85"/>
      <c r="C23" s="85"/>
      <c r="D23" s="85"/>
      <c r="E23" s="36" t="s">
        <v>267</v>
      </c>
      <c r="F23" s="148" t="s">
        <v>12</v>
      </c>
      <c r="G23" s="28" t="s">
        <v>11</v>
      </c>
      <c r="H23" s="85"/>
      <c r="I23" s="84">
        <v>40000000000</v>
      </c>
      <c r="J23" s="84"/>
      <c r="K23" s="85"/>
      <c r="L23" s="85"/>
      <c r="M23" s="85"/>
      <c r="N23" s="85"/>
      <c r="O23" s="85"/>
      <c r="P23" s="85"/>
      <c r="Q23" s="150">
        <f t="shared" si="2"/>
        <v>40000000000</v>
      </c>
    </row>
    <row r="24" spans="1:17" ht="30">
      <c r="A24" s="85">
        <v>8</v>
      </c>
      <c r="B24" s="85"/>
      <c r="C24" s="85"/>
      <c r="D24" s="85"/>
      <c r="E24" s="36" t="s">
        <v>268</v>
      </c>
      <c r="F24" s="148" t="s">
        <v>269</v>
      </c>
      <c r="G24" s="28" t="s">
        <v>11</v>
      </c>
      <c r="H24" s="85"/>
      <c r="I24" s="84">
        <v>6425000000</v>
      </c>
      <c r="J24" s="84"/>
      <c r="K24" s="85"/>
      <c r="L24" s="85"/>
      <c r="M24" s="85"/>
      <c r="N24" s="85"/>
      <c r="O24" s="85"/>
      <c r="P24" s="85"/>
      <c r="Q24" s="150">
        <f t="shared" si="2"/>
        <v>6425000000</v>
      </c>
    </row>
    <row r="25" spans="1:17" ht="45">
      <c r="A25" s="85">
        <v>9</v>
      </c>
      <c r="B25" s="85"/>
      <c r="C25" s="85"/>
      <c r="D25" s="85"/>
      <c r="E25" s="36" t="s">
        <v>270</v>
      </c>
      <c r="F25" s="148" t="s">
        <v>12</v>
      </c>
      <c r="G25" s="28" t="s">
        <v>11</v>
      </c>
      <c r="H25" s="85"/>
      <c r="I25" s="84">
        <v>5000000000</v>
      </c>
      <c r="J25" s="84"/>
      <c r="K25" s="85"/>
      <c r="L25" s="85"/>
      <c r="M25" s="85"/>
      <c r="N25" s="85"/>
      <c r="O25" s="85"/>
      <c r="P25" s="85"/>
      <c r="Q25" s="150">
        <f t="shared" si="2"/>
        <v>5000000000</v>
      </c>
    </row>
    <row r="26" spans="1:17" ht="15.75">
      <c r="A26" s="866" t="s">
        <v>190</v>
      </c>
      <c r="B26" s="866"/>
      <c r="C26" s="866"/>
      <c r="D26" s="866"/>
      <c r="E26" s="866"/>
      <c r="F26" s="866"/>
      <c r="G26" s="866"/>
      <c r="H26" s="57"/>
      <c r="I26" s="89">
        <f t="shared" ref="I26:Q26" si="3">SUM(I17:I25)</f>
        <v>170061000000</v>
      </c>
      <c r="J26" s="89">
        <f t="shared" si="3"/>
        <v>4874511061</v>
      </c>
      <c r="K26" s="89">
        <f t="shared" si="3"/>
        <v>0</v>
      </c>
      <c r="L26" s="89">
        <f t="shared" si="3"/>
        <v>0</v>
      </c>
      <c r="M26" s="89">
        <f t="shared" si="3"/>
        <v>0</v>
      </c>
      <c r="N26" s="89">
        <f t="shared" si="3"/>
        <v>0</v>
      </c>
      <c r="O26" s="89">
        <f t="shared" si="3"/>
        <v>0</v>
      </c>
      <c r="P26" s="89">
        <f t="shared" si="3"/>
        <v>0</v>
      </c>
      <c r="Q26" s="89">
        <f t="shared" si="3"/>
        <v>174935511061</v>
      </c>
    </row>
  </sheetData>
  <mergeCells count="5">
    <mergeCell ref="G8:H9"/>
    <mergeCell ref="A6:G6"/>
    <mergeCell ref="A15:Q15"/>
    <mergeCell ref="A26:G26"/>
    <mergeCell ref="A2:Q2"/>
  </mergeCells>
  <pageMargins left="0.25" right="0.25" top="0.39" bottom="0.39" header="0.3" footer="0.3"/>
  <pageSetup scale="66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J16"/>
  <sheetViews>
    <sheetView workbookViewId="0">
      <selection activeCell="E7" sqref="E7"/>
    </sheetView>
  </sheetViews>
  <sheetFormatPr baseColWidth="10" defaultColWidth="11.42578125" defaultRowHeight="15"/>
  <cols>
    <col min="1" max="1" width="7.85546875" customWidth="1"/>
    <col min="2" max="2" width="17.42578125" customWidth="1"/>
    <col min="3" max="3" width="19.7109375" bestFit="1" customWidth="1"/>
    <col min="4" max="4" width="22.42578125" bestFit="1" customWidth="1"/>
    <col min="5" max="5" width="21.42578125" bestFit="1" customWidth="1"/>
    <col min="6" max="6" width="19" bestFit="1" customWidth="1"/>
    <col min="7" max="7" width="19.85546875" customWidth="1"/>
    <col min="8" max="8" width="20.140625" style="27" customWidth="1"/>
    <col min="9" max="9" width="19.28515625" style="27" bestFit="1" customWidth="1"/>
    <col min="10" max="10" width="18" style="27" customWidth="1"/>
    <col min="11" max="16384" width="11.42578125" style="27"/>
  </cols>
  <sheetData>
    <row r="2" spans="2:10" ht="54">
      <c r="B2" s="17" t="s">
        <v>159</v>
      </c>
      <c r="C2" s="17" t="s">
        <v>158</v>
      </c>
      <c r="D2" s="17" t="s">
        <v>157</v>
      </c>
      <c r="E2" s="18" t="s">
        <v>156</v>
      </c>
      <c r="F2" s="18" t="s">
        <v>155</v>
      </c>
      <c r="G2" s="18" t="s">
        <v>154</v>
      </c>
      <c r="H2" s="18" t="s">
        <v>153</v>
      </c>
      <c r="I2" s="19" t="s">
        <v>146</v>
      </c>
    </row>
    <row r="3" spans="2:10" ht="45">
      <c r="B3" s="181">
        <v>1</v>
      </c>
      <c r="C3" s="181">
        <v>2016</v>
      </c>
      <c r="D3" s="182" t="s">
        <v>308</v>
      </c>
      <c r="E3" s="178" t="s">
        <v>309</v>
      </c>
      <c r="F3" s="179" t="s">
        <v>310</v>
      </c>
      <c r="G3" s="183" t="s">
        <v>311</v>
      </c>
      <c r="H3" s="181" t="s">
        <v>312</v>
      </c>
      <c r="I3" s="180">
        <v>4611096353</v>
      </c>
    </row>
    <row r="4" spans="2:10" ht="45">
      <c r="B4" s="181">
        <v>2</v>
      </c>
      <c r="C4" s="181">
        <v>2017</v>
      </c>
      <c r="D4" s="182" t="s">
        <v>313</v>
      </c>
      <c r="E4" s="178" t="s">
        <v>309</v>
      </c>
      <c r="F4" s="179" t="s">
        <v>314</v>
      </c>
      <c r="G4" s="183" t="s">
        <v>311</v>
      </c>
      <c r="H4" s="181" t="s">
        <v>312</v>
      </c>
      <c r="I4" s="180">
        <v>3885997045</v>
      </c>
    </row>
    <row r="5" spans="2:10" ht="45">
      <c r="B5" s="181">
        <v>3</v>
      </c>
      <c r="C5" s="181">
        <v>2018</v>
      </c>
      <c r="D5" s="182" t="s">
        <v>315</v>
      </c>
      <c r="E5" s="178" t="s">
        <v>309</v>
      </c>
      <c r="F5" s="179" t="s">
        <v>316</v>
      </c>
      <c r="G5" s="183" t="s">
        <v>311</v>
      </c>
      <c r="H5" s="181" t="s">
        <v>312</v>
      </c>
      <c r="I5" s="180">
        <v>3849601301</v>
      </c>
    </row>
    <row r="6" spans="2:10" ht="45">
      <c r="B6" s="181">
        <v>4</v>
      </c>
      <c r="C6" s="181">
        <v>2019</v>
      </c>
      <c r="D6" s="182" t="s">
        <v>317</v>
      </c>
      <c r="E6" s="178" t="s">
        <v>318</v>
      </c>
      <c r="F6" s="179" t="s">
        <v>319</v>
      </c>
      <c r="G6" s="183" t="s">
        <v>311</v>
      </c>
      <c r="H6" s="181" t="s">
        <v>312</v>
      </c>
      <c r="I6" s="180">
        <v>14701952459</v>
      </c>
    </row>
    <row r="9" spans="2:10" ht="57" customHeight="1">
      <c r="B9" s="162" t="s">
        <v>274</v>
      </c>
      <c r="C9" s="163" t="s">
        <v>275</v>
      </c>
      <c r="D9" s="163" t="s">
        <v>276</v>
      </c>
      <c r="E9" s="163" t="s">
        <v>277</v>
      </c>
      <c r="F9" s="162" t="s">
        <v>278</v>
      </c>
      <c r="G9" s="162" t="s">
        <v>279</v>
      </c>
      <c r="H9" s="162" t="s">
        <v>280</v>
      </c>
      <c r="I9" s="162" t="s">
        <v>281</v>
      </c>
      <c r="J9" s="162" t="s">
        <v>282</v>
      </c>
    </row>
    <row r="10" spans="2:10" ht="43.5" customHeight="1">
      <c r="B10" s="871">
        <v>2014</v>
      </c>
      <c r="C10" s="868" t="s">
        <v>283</v>
      </c>
      <c r="D10" s="164" t="s">
        <v>284</v>
      </c>
      <c r="E10" s="165" t="s">
        <v>307</v>
      </c>
      <c r="F10" s="872">
        <v>15323172240</v>
      </c>
      <c r="G10" s="873" t="s">
        <v>285</v>
      </c>
      <c r="H10" s="869">
        <v>15323172240</v>
      </c>
      <c r="I10" s="166" t="s">
        <v>286</v>
      </c>
      <c r="J10" s="167">
        <v>1451943920</v>
      </c>
    </row>
    <row r="11" spans="2:10" ht="44.25" customHeight="1">
      <c r="B11" s="871"/>
      <c r="C11" s="868"/>
      <c r="D11" s="164" t="s">
        <v>287</v>
      </c>
      <c r="E11" s="165" t="s">
        <v>288</v>
      </c>
      <c r="F11" s="872"/>
      <c r="G11" s="873"/>
      <c r="H11" s="870"/>
      <c r="I11" s="166" t="s">
        <v>289</v>
      </c>
      <c r="J11" s="167">
        <v>13871228320</v>
      </c>
    </row>
    <row r="12" spans="2:10" ht="40.5" customHeight="1">
      <c r="B12" s="168">
        <v>2015</v>
      </c>
      <c r="C12" s="169" t="s">
        <v>290</v>
      </c>
      <c r="D12" s="164" t="s">
        <v>291</v>
      </c>
      <c r="E12" s="165" t="s">
        <v>292</v>
      </c>
      <c r="F12" s="167">
        <v>152497391</v>
      </c>
      <c r="G12" s="170" t="s">
        <v>293</v>
      </c>
      <c r="H12" s="171">
        <v>152497391</v>
      </c>
      <c r="I12" s="166" t="s">
        <v>294</v>
      </c>
      <c r="J12" s="167">
        <v>152497391</v>
      </c>
    </row>
    <row r="13" spans="2:10" ht="47.25" customHeight="1">
      <c r="B13" s="168">
        <v>2016</v>
      </c>
      <c r="C13" s="169" t="s">
        <v>290</v>
      </c>
      <c r="D13" s="164" t="s">
        <v>295</v>
      </c>
      <c r="E13" s="164" t="s">
        <v>296</v>
      </c>
      <c r="F13" s="172">
        <v>5750683707</v>
      </c>
      <c r="G13" s="173" t="s">
        <v>297</v>
      </c>
      <c r="H13" s="172">
        <v>5750683707</v>
      </c>
      <c r="I13" s="164" t="s">
        <v>298</v>
      </c>
      <c r="J13" s="172">
        <v>5750683707</v>
      </c>
    </row>
    <row r="14" spans="2:10" ht="60" customHeight="1">
      <c r="B14" s="168">
        <v>2017</v>
      </c>
      <c r="C14" s="169" t="s">
        <v>290</v>
      </c>
      <c r="D14" s="164" t="s">
        <v>299</v>
      </c>
      <c r="E14" s="164" t="s">
        <v>300</v>
      </c>
      <c r="F14" s="172">
        <v>6786636417</v>
      </c>
      <c r="G14" s="174" t="s">
        <v>301</v>
      </c>
      <c r="H14" s="172">
        <v>6786636417</v>
      </c>
      <c r="I14" s="164" t="s">
        <v>302</v>
      </c>
      <c r="J14" s="172">
        <v>6786636417</v>
      </c>
    </row>
    <row r="15" spans="2:10" ht="66.75" customHeight="1">
      <c r="B15" s="168">
        <v>2018</v>
      </c>
      <c r="C15" s="169" t="s">
        <v>290</v>
      </c>
      <c r="D15" s="164" t="s">
        <v>303</v>
      </c>
      <c r="E15" s="164" t="s">
        <v>304</v>
      </c>
      <c r="F15" s="172">
        <v>5824148828</v>
      </c>
      <c r="G15" s="164" t="s">
        <v>305</v>
      </c>
      <c r="H15" s="172">
        <v>5824148828</v>
      </c>
      <c r="I15" s="175" t="s">
        <v>306</v>
      </c>
      <c r="J15" s="172">
        <v>5824148828</v>
      </c>
    </row>
    <row r="16" spans="2:10" ht="43.5" customHeight="1">
      <c r="I16" s="177" t="s">
        <v>190</v>
      </c>
      <c r="J16" s="176">
        <f>SUM(J10:J15)</f>
        <v>33837138583</v>
      </c>
    </row>
  </sheetData>
  <mergeCells count="5">
    <mergeCell ref="C10:C11"/>
    <mergeCell ref="H10:H11"/>
    <mergeCell ref="B10:B11"/>
    <mergeCell ref="F10:F11"/>
    <mergeCell ref="G10:G11"/>
  </mergeCells>
  <pageMargins left="0.7" right="0.7" top="0.75" bottom="0.75" header="0.3" footer="0.3"/>
  <pageSetup scale="67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2:I17"/>
  <sheetViews>
    <sheetView workbookViewId="0">
      <selection activeCell="B2" sqref="B2:G11"/>
    </sheetView>
  </sheetViews>
  <sheetFormatPr baseColWidth="10" defaultRowHeight="15"/>
  <cols>
    <col min="2" max="2" width="37.85546875" bestFit="1" customWidth="1"/>
    <col min="3" max="3" width="15.7109375" bestFit="1" customWidth="1"/>
    <col min="4" max="6" width="15.7109375" customWidth="1"/>
    <col min="7" max="7" width="15.7109375" bestFit="1" customWidth="1"/>
    <col min="9" max="9" width="15.7109375" bestFit="1" customWidth="1"/>
  </cols>
  <sheetData>
    <row r="2" spans="2:9">
      <c r="B2" s="429" t="s">
        <v>509</v>
      </c>
      <c r="C2" s="430" t="s">
        <v>507</v>
      </c>
      <c r="D2" s="430" t="s">
        <v>86</v>
      </c>
      <c r="E2" s="430" t="s">
        <v>40</v>
      </c>
      <c r="F2" s="430" t="s">
        <v>10</v>
      </c>
      <c r="G2" s="430" t="s">
        <v>102</v>
      </c>
    </row>
    <row r="3" spans="2:9">
      <c r="B3" s="351" t="s">
        <v>237</v>
      </c>
      <c r="C3" s="427">
        <v>63038547348</v>
      </c>
      <c r="D3" s="427">
        <v>61856048932</v>
      </c>
      <c r="E3" s="427">
        <v>41652554444</v>
      </c>
      <c r="F3" s="428">
        <v>79371170568</v>
      </c>
      <c r="G3" s="428">
        <v>16659605856</v>
      </c>
      <c r="I3" s="426">
        <v>79371170568</v>
      </c>
    </row>
    <row r="4" spans="2:9">
      <c r="B4" s="351" t="s">
        <v>235</v>
      </c>
      <c r="C4" s="427">
        <v>115925313188</v>
      </c>
      <c r="D4" s="427">
        <v>120061347407</v>
      </c>
      <c r="E4" s="427">
        <f>99885160272+D16</f>
        <v>120307672957</v>
      </c>
      <c r="F4" s="428">
        <v>160668907883</v>
      </c>
      <c r="G4" s="428">
        <v>0</v>
      </c>
      <c r="I4" s="426">
        <v>160668907883</v>
      </c>
    </row>
    <row r="5" spans="2:9">
      <c r="B5" s="351" t="s">
        <v>150</v>
      </c>
      <c r="C5" s="427">
        <v>44954970586</v>
      </c>
      <c r="D5" s="427">
        <v>51641780033</v>
      </c>
      <c r="E5" s="427">
        <f>45299387486+E16</f>
        <v>54065546050</v>
      </c>
      <c r="F5" s="428">
        <v>70226065282</v>
      </c>
      <c r="G5" s="428">
        <v>0</v>
      </c>
      <c r="I5" s="426">
        <v>70226065282</v>
      </c>
    </row>
    <row r="6" spans="2:9">
      <c r="B6" s="351" t="s">
        <v>510</v>
      </c>
      <c r="C6" s="428">
        <v>0</v>
      </c>
      <c r="D6" s="428">
        <v>0</v>
      </c>
      <c r="E6" s="427">
        <v>26604162168</v>
      </c>
      <c r="F6" s="428">
        <v>0</v>
      </c>
      <c r="G6" s="428">
        <v>0</v>
      </c>
      <c r="I6" s="426"/>
    </row>
    <row r="7" spans="2:9">
      <c r="B7" s="351" t="s">
        <v>506</v>
      </c>
      <c r="C7" s="428">
        <v>0</v>
      </c>
      <c r="D7" s="428">
        <v>0</v>
      </c>
      <c r="E7" s="428">
        <v>0</v>
      </c>
      <c r="F7" s="428">
        <v>0</v>
      </c>
      <c r="G7" s="428">
        <v>123780406795.10507</v>
      </c>
      <c r="I7" s="426"/>
    </row>
    <row r="8" spans="2:9">
      <c r="B8" s="351" t="s">
        <v>497</v>
      </c>
      <c r="C8" s="428">
        <v>0</v>
      </c>
      <c r="D8" s="428">
        <v>0</v>
      </c>
      <c r="E8" s="428">
        <v>0</v>
      </c>
      <c r="F8" s="428">
        <v>0</v>
      </c>
      <c r="G8" s="428">
        <v>4164901464</v>
      </c>
      <c r="I8" s="426"/>
    </row>
    <row r="9" spans="2:9">
      <c r="B9" s="351" t="s">
        <v>360</v>
      </c>
      <c r="C9" s="427">
        <v>9573615554</v>
      </c>
      <c r="D9" s="427">
        <v>12280076324</v>
      </c>
      <c r="E9" s="427">
        <v>15878595928</v>
      </c>
      <c r="F9" s="428">
        <v>21383288989</v>
      </c>
      <c r="G9" s="428">
        <v>4036662308.2581453</v>
      </c>
      <c r="I9" s="426">
        <v>21383288989</v>
      </c>
    </row>
    <row r="10" spans="2:9">
      <c r="B10" s="351"/>
      <c r="C10" s="351"/>
      <c r="D10" s="351"/>
      <c r="E10" s="351"/>
      <c r="F10" s="351"/>
      <c r="G10" s="351"/>
    </row>
    <row r="11" spans="2:9">
      <c r="B11" s="429" t="s">
        <v>508</v>
      </c>
      <c r="C11" s="431">
        <f>+C3+C4+C5+C9</f>
        <v>233492446676</v>
      </c>
      <c r="D11" s="431">
        <f>+D3+D4+D5+D9</f>
        <v>245839252696</v>
      </c>
      <c r="E11" s="431">
        <f>+E3+E4+E5+E9</f>
        <v>231904369379</v>
      </c>
      <c r="F11" s="431">
        <f>+F3+F4+F5+F9</f>
        <v>331649432722</v>
      </c>
      <c r="G11" s="431">
        <f>+G3+G7+G8+G9</f>
        <v>148641576423.36322</v>
      </c>
    </row>
    <row r="15" spans="2:9">
      <c r="F15" s="421">
        <v>13366323882</v>
      </c>
      <c r="G15" s="421">
        <v>4284530720</v>
      </c>
    </row>
    <row r="16" spans="2:9">
      <c r="D16" s="421">
        <v>20422512685</v>
      </c>
      <c r="E16" s="421">
        <v>8766158564</v>
      </c>
    </row>
    <row r="17" spans="3:7">
      <c r="C17" s="421">
        <v>29901130268</v>
      </c>
      <c r="D17" s="421"/>
      <c r="E17" s="421"/>
      <c r="G17" s="421">
        <v>13259462640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G42"/>
  <sheetViews>
    <sheetView topLeftCell="A6" workbookViewId="0">
      <selection activeCell="D14" sqref="D14"/>
    </sheetView>
  </sheetViews>
  <sheetFormatPr baseColWidth="10" defaultRowHeight="15"/>
  <cols>
    <col min="1" max="1" width="3.85546875" customWidth="1"/>
    <col min="2" max="2" width="14.42578125" customWidth="1"/>
    <col min="3" max="3" width="48.7109375" customWidth="1"/>
    <col min="4" max="4" width="25.28515625" customWidth="1"/>
    <col min="5" max="5" width="21.140625" customWidth="1"/>
    <col min="6" max="6" width="18.5703125" customWidth="1"/>
    <col min="7" max="7" width="17.85546875" customWidth="1"/>
  </cols>
  <sheetData>
    <row r="1" spans="2:7" ht="15.75" thickBot="1"/>
    <row r="2" spans="2:7" ht="21.75" thickBot="1">
      <c r="B2" s="876" t="s">
        <v>457</v>
      </c>
      <c r="C2" s="877"/>
      <c r="D2" s="877"/>
      <c r="E2" s="877"/>
      <c r="F2" s="878"/>
    </row>
    <row r="3" spans="2:7" ht="16.5" thickBot="1">
      <c r="B3" s="137" t="s">
        <v>156</v>
      </c>
      <c r="C3" s="137" t="s">
        <v>234</v>
      </c>
      <c r="D3" s="138" t="s">
        <v>235</v>
      </c>
      <c r="E3" s="138" t="s">
        <v>150</v>
      </c>
      <c r="F3" s="138" t="s">
        <v>453</v>
      </c>
    </row>
    <row r="4" spans="2:7" ht="60.95" customHeight="1">
      <c r="B4" s="341">
        <v>2020000050003</v>
      </c>
      <c r="C4" s="257" t="s">
        <v>346</v>
      </c>
      <c r="D4" s="343">
        <v>5767163702</v>
      </c>
      <c r="E4" s="344">
        <v>37666131862</v>
      </c>
      <c r="F4" s="344">
        <f>+D4+E4</f>
        <v>43433295564</v>
      </c>
    </row>
    <row r="5" spans="2:7" ht="36">
      <c r="B5" s="341">
        <v>2020000050012</v>
      </c>
      <c r="C5" s="257" t="s">
        <v>348</v>
      </c>
      <c r="D5" s="343">
        <v>5419592232</v>
      </c>
      <c r="E5" s="342"/>
      <c r="F5" s="344">
        <f>+D5+E5</f>
        <v>5419592232</v>
      </c>
    </row>
    <row r="6" spans="2:7" ht="36">
      <c r="B6" s="341">
        <v>2020000050019</v>
      </c>
      <c r="C6" s="257" t="s">
        <v>347</v>
      </c>
      <c r="D6" s="345">
        <v>18324075208</v>
      </c>
      <c r="E6" s="347">
        <v>7916879792</v>
      </c>
      <c r="F6" s="344">
        <f>+D6+E6</f>
        <v>26240955000</v>
      </c>
    </row>
    <row r="7" spans="2:7">
      <c r="B7" s="341">
        <v>2020000050015</v>
      </c>
      <c r="C7" s="316" t="s">
        <v>394</v>
      </c>
      <c r="D7" s="345">
        <v>7458735075</v>
      </c>
      <c r="E7" s="348"/>
      <c r="F7" s="344">
        <f>+D7+E7</f>
        <v>7458735075</v>
      </c>
    </row>
    <row r="8" spans="2:7" ht="24">
      <c r="B8" s="346">
        <v>2020000050013</v>
      </c>
      <c r="C8" s="315" t="s">
        <v>400</v>
      </c>
      <c r="D8" s="347">
        <v>6788620869</v>
      </c>
      <c r="E8" s="348"/>
      <c r="F8" s="349">
        <f>+D8+E8</f>
        <v>6788620869</v>
      </c>
    </row>
    <row r="9" spans="2:7">
      <c r="B9" s="874" t="s">
        <v>190</v>
      </c>
      <c r="C9" s="874"/>
      <c r="D9" s="354">
        <f>SUM(D4:D8)</f>
        <v>43758187086</v>
      </c>
      <c r="E9" s="354">
        <f>SUM(E4:E8)</f>
        <v>45583011654</v>
      </c>
      <c r="F9" s="354">
        <f>SUM(F4:F8)</f>
        <v>89341198740</v>
      </c>
    </row>
    <row r="10" spans="2:7" ht="15.75" thickBot="1">
      <c r="B10" s="352"/>
      <c r="C10" s="352"/>
      <c r="D10" s="353"/>
      <c r="E10" s="353"/>
      <c r="F10" s="353"/>
    </row>
    <row r="11" spans="2:7" ht="24" thickBot="1">
      <c r="B11" s="879" t="s">
        <v>237</v>
      </c>
      <c r="C11" s="880"/>
      <c r="D11" s="880"/>
      <c r="E11" s="880"/>
      <c r="F11" s="880"/>
      <c r="G11" s="881"/>
    </row>
    <row r="12" spans="2:7" ht="32.25" thickBot="1">
      <c r="B12" s="137" t="s">
        <v>156</v>
      </c>
      <c r="C12" s="137" t="s">
        <v>234</v>
      </c>
      <c r="D12" s="138" t="s">
        <v>237</v>
      </c>
      <c r="E12" s="139" t="s">
        <v>458</v>
      </c>
      <c r="F12" s="138" t="s">
        <v>147</v>
      </c>
      <c r="G12" s="138" t="s">
        <v>456</v>
      </c>
    </row>
    <row r="13" spans="2:7" ht="72">
      <c r="B13" s="346">
        <v>2020000100003</v>
      </c>
      <c r="C13" s="315" t="s">
        <v>373</v>
      </c>
      <c r="D13" s="347">
        <v>448850249.74000001</v>
      </c>
      <c r="E13" s="347"/>
      <c r="F13" s="347">
        <v>2062149759</v>
      </c>
      <c r="G13" s="347">
        <f t="shared" ref="G13:G31" si="0">+D13+F13</f>
        <v>2511000008.7399998</v>
      </c>
    </row>
    <row r="14" spans="2:7" ht="60">
      <c r="B14" s="346">
        <v>2020000100004</v>
      </c>
      <c r="C14" s="315" t="s">
        <v>374</v>
      </c>
      <c r="D14" s="347">
        <v>223854069</v>
      </c>
      <c r="E14" s="347"/>
      <c r="F14" s="347">
        <v>792898633.42999995</v>
      </c>
      <c r="G14" s="347">
        <f t="shared" si="0"/>
        <v>1016752702.4299999</v>
      </c>
    </row>
    <row r="15" spans="2:7" ht="72">
      <c r="B15" s="346" t="s">
        <v>375</v>
      </c>
      <c r="C15" s="315" t="s">
        <v>376</v>
      </c>
      <c r="D15" s="347">
        <v>444702942.42000002</v>
      </c>
      <c r="E15" s="347"/>
      <c r="F15" s="347">
        <v>2476354647.4699998</v>
      </c>
      <c r="G15" s="347">
        <f t="shared" si="0"/>
        <v>2921057589.8899999</v>
      </c>
    </row>
    <row r="16" spans="2:7" ht="36">
      <c r="B16" s="346" t="s">
        <v>377</v>
      </c>
      <c r="C16" s="315" t="s">
        <v>378</v>
      </c>
      <c r="D16" s="347">
        <v>227533861.69999999</v>
      </c>
      <c r="E16" s="347"/>
      <c r="F16" s="347">
        <v>951215728</v>
      </c>
      <c r="G16" s="347">
        <f t="shared" si="0"/>
        <v>1178749589.7</v>
      </c>
    </row>
    <row r="17" spans="2:7" ht="60">
      <c r="B17" s="346" t="s">
        <v>379</v>
      </c>
      <c r="C17" s="315" t="s">
        <v>380</v>
      </c>
      <c r="D17" s="347">
        <v>4168513565</v>
      </c>
      <c r="E17" s="347"/>
      <c r="F17" s="347">
        <v>994229412</v>
      </c>
      <c r="G17" s="347">
        <f t="shared" si="0"/>
        <v>5162742977</v>
      </c>
    </row>
    <row r="18" spans="2:7" ht="72">
      <c r="B18" s="346" t="s">
        <v>381</v>
      </c>
      <c r="C18" s="315" t="s">
        <v>382</v>
      </c>
      <c r="D18" s="347">
        <v>4048003426</v>
      </c>
      <c r="E18" s="347"/>
      <c r="F18" s="347">
        <v>458355848</v>
      </c>
      <c r="G18" s="347">
        <f t="shared" si="0"/>
        <v>4506359274</v>
      </c>
    </row>
    <row r="19" spans="2:7" ht="36">
      <c r="B19" s="346" t="s">
        <v>403</v>
      </c>
      <c r="C19" s="315" t="s">
        <v>404</v>
      </c>
      <c r="D19" s="347">
        <v>456845037.89999998</v>
      </c>
      <c r="E19" s="347"/>
      <c r="F19" s="347">
        <v>2351674962.0999999</v>
      </c>
      <c r="G19" s="347">
        <f t="shared" si="0"/>
        <v>2808520000</v>
      </c>
    </row>
    <row r="20" spans="2:7" ht="48">
      <c r="B20" s="346" t="s">
        <v>405</v>
      </c>
      <c r="C20" s="315" t="s">
        <v>406</v>
      </c>
      <c r="D20" s="347">
        <v>440855461</v>
      </c>
      <c r="E20" s="347"/>
      <c r="F20" s="347">
        <v>1636715753.28</v>
      </c>
      <c r="G20" s="347">
        <f t="shared" si="0"/>
        <v>2077571214.28</v>
      </c>
    </row>
    <row r="21" spans="2:7" ht="36">
      <c r="B21" s="346" t="s">
        <v>407</v>
      </c>
      <c r="C21" s="315" t="s">
        <v>408</v>
      </c>
      <c r="D21" s="347">
        <v>456845037.89999998</v>
      </c>
      <c r="E21" s="347"/>
      <c r="F21" s="347">
        <v>2720414658</v>
      </c>
      <c r="G21" s="347">
        <f t="shared" si="0"/>
        <v>3177259695.9000001</v>
      </c>
    </row>
    <row r="22" spans="2:7" ht="48">
      <c r="B22" s="346" t="s">
        <v>409</v>
      </c>
      <c r="C22" s="315" t="s">
        <v>410</v>
      </c>
      <c r="D22" s="347">
        <v>228150309.21000001</v>
      </c>
      <c r="E22" s="347"/>
      <c r="F22" s="347">
        <v>862457997</v>
      </c>
      <c r="G22" s="347">
        <f t="shared" si="0"/>
        <v>1090608306.21</v>
      </c>
    </row>
    <row r="23" spans="2:7" ht="36">
      <c r="B23" s="346" t="s">
        <v>411</v>
      </c>
      <c r="C23" s="315" t="s">
        <v>412</v>
      </c>
      <c r="D23" s="347">
        <v>449314186.43000001</v>
      </c>
      <c r="E23" s="347"/>
      <c r="F23" s="347">
        <v>1861320696.45</v>
      </c>
      <c r="G23" s="347">
        <f t="shared" si="0"/>
        <v>2310634882.8800001</v>
      </c>
    </row>
    <row r="24" spans="2:7" ht="36">
      <c r="B24" s="346" t="s">
        <v>413</v>
      </c>
      <c r="C24" s="315" t="s">
        <v>414</v>
      </c>
      <c r="D24" s="347">
        <v>456331888.76999998</v>
      </c>
      <c r="E24" s="347"/>
      <c r="F24" s="347">
        <v>1568101780.23</v>
      </c>
      <c r="G24" s="347">
        <f t="shared" si="0"/>
        <v>2024433669</v>
      </c>
    </row>
    <row r="25" spans="2:7" ht="60">
      <c r="B25" s="346" t="s">
        <v>415</v>
      </c>
      <c r="C25" s="315" t="s">
        <v>416</v>
      </c>
      <c r="D25" s="347">
        <v>456319666.11000001</v>
      </c>
      <c r="E25" s="347"/>
      <c r="F25" s="347">
        <v>2301377645.8899999</v>
      </c>
      <c r="G25" s="347">
        <f t="shared" si="0"/>
        <v>2757697312</v>
      </c>
    </row>
    <row r="26" spans="2:7" ht="48">
      <c r="B26" s="346">
        <v>2020000100078</v>
      </c>
      <c r="C26" s="315" t="s">
        <v>459</v>
      </c>
      <c r="D26" s="347">
        <v>2972617692.8800001</v>
      </c>
      <c r="E26" s="347"/>
      <c r="F26" s="347">
        <v>3793781631.8800001</v>
      </c>
      <c r="G26" s="347">
        <f t="shared" si="0"/>
        <v>6766399324.7600002</v>
      </c>
    </row>
    <row r="27" spans="2:7" ht="48">
      <c r="B27" s="346" t="s">
        <v>417</v>
      </c>
      <c r="C27" s="315" t="s">
        <v>418</v>
      </c>
      <c r="D27" s="347">
        <v>3282745260</v>
      </c>
      <c r="E27" s="347"/>
      <c r="F27" s="347">
        <v>1301224773</v>
      </c>
      <c r="G27" s="347">
        <f t="shared" si="0"/>
        <v>4583970033</v>
      </c>
    </row>
    <row r="28" spans="2:7" ht="48">
      <c r="B28" s="346" t="s">
        <v>419</v>
      </c>
      <c r="C28" s="315" t="s">
        <v>420</v>
      </c>
      <c r="D28" s="347">
        <v>12848931736</v>
      </c>
      <c r="E28" s="347"/>
      <c r="F28" s="347">
        <v>934625588</v>
      </c>
      <c r="G28" s="347">
        <f t="shared" si="0"/>
        <v>13783557324</v>
      </c>
    </row>
    <row r="29" spans="2:7" ht="36">
      <c r="B29" s="346" t="s">
        <v>421</v>
      </c>
      <c r="C29" s="315" t="s">
        <v>422</v>
      </c>
      <c r="D29" s="347">
        <v>1707430133</v>
      </c>
      <c r="E29" s="347"/>
      <c r="F29" s="347">
        <v>188724096</v>
      </c>
      <c r="G29" s="347">
        <f t="shared" si="0"/>
        <v>1896154229</v>
      </c>
    </row>
    <row r="30" spans="2:7" ht="60">
      <c r="B30" s="346" t="s">
        <v>423</v>
      </c>
      <c r="C30" s="315" t="s">
        <v>424</v>
      </c>
      <c r="D30" s="347">
        <v>2294345776</v>
      </c>
      <c r="E30" s="347"/>
      <c r="F30" s="347">
        <v>850179744</v>
      </c>
      <c r="G30" s="347">
        <f t="shared" si="0"/>
        <v>3144525520</v>
      </c>
    </row>
    <row r="31" spans="2:7" ht="36">
      <c r="B31" s="346" t="s">
        <v>425</v>
      </c>
      <c r="C31" s="315" t="s">
        <v>426</v>
      </c>
      <c r="D31" s="347">
        <v>2218862102</v>
      </c>
      <c r="E31" s="347"/>
      <c r="F31" s="347">
        <v>22567488</v>
      </c>
      <c r="G31" s="347">
        <f t="shared" si="0"/>
        <v>2241429590</v>
      </c>
    </row>
    <row r="32" spans="2:7" ht="24">
      <c r="B32" s="346"/>
      <c r="C32" s="257" t="s">
        <v>427</v>
      </c>
      <c r="D32" s="347"/>
      <c r="E32" s="347">
        <v>6908852000</v>
      </c>
      <c r="F32" s="347"/>
      <c r="G32" s="347"/>
    </row>
    <row r="33" spans="2:7" ht="60">
      <c r="B33" s="346"/>
      <c r="C33" s="257" t="s">
        <v>428</v>
      </c>
      <c r="D33" s="347"/>
      <c r="E33" s="347">
        <v>3000000000</v>
      </c>
      <c r="F33" s="347"/>
      <c r="G33" s="347"/>
    </row>
    <row r="34" spans="2:7" ht="60">
      <c r="B34" s="346">
        <v>2020000100650</v>
      </c>
      <c r="C34" s="257" t="s">
        <v>460</v>
      </c>
      <c r="D34" s="347"/>
      <c r="E34" s="347">
        <v>9996728696</v>
      </c>
      <c r="F34" s="347"/>
      <c r="G34" s="347"/>
    </row>
    <row r="35" spans="2:7" ht="48">
      <c r="B35" s="346">
        <v>2020000100649</v>
      </c>
      <c r="C35" s="257" t="s">
        <v>430</v>
      </c>
      <c r="D35" s="347"/>
      <c r="E35" s="347">
        <v>2645464018</v>
      </c>
      <c r="F35" s="347"/>
      <c r="G35" s="347"/>
    </row>
    <row r="36" spans="2:7">
      <c r="B36" s="875" t="s">
        <v>453</v>
      </c>
      <c r="C36" s="875"/>
      <c r="D36" s="355">
        <f>SUM(D13:D35)</f>
        <v>37831052401.059998</v>
      </c>
      <c r="E36" s="355">
        <f>SUM(E13:E35)</f>
        <v>22551044714</v>
      </c>
      <c r="F36" s="355">
        <f>SUM(G13:G31)</f>
        <v>65959423242.790001</v>
      </c>
      <c r="G36" s="355"/>
    </row>
    <row r="39" spans="2:7">
      <c r="D39" s="799" t="s">
        <v>237</v>
      </c>
      <c r="E39" s="800"/>
    </row>
    <row r="40" spans="2:7">
      <c r="D40" s="351" t="s">
        <v>454</v>
      </c>
      <c r="E40" s="350">
        <f>+D36</f>
        <v>37831052401.059998</v>
      </c>
    </row>
    <row r="41" spans="2:7">
      <c r="D41" s="351" t="s">
        <v>455</v>
      </c>
      <c r="E41" s="350">
        <f>+E36</f>
        <v>22551044714</v>
      </c>
    </row>
    <row r="42" spans="2:7">
      <c r="D42" s="351" t="s">
        <v>190</v>
      </c>
      <c r="E42" s="350">
        <f>+E40+E41</f>
        <v>60382097115.059998</v>
      </c>
    </row>
  </sheetData>
  <mergeCells count="5">
    <mergeCell ref="D39:E39"/>
    <mergeCell ref="B9:C9"/>
    <mergeCell ref="B36:C36"/>
    <mergeCell ref="B2:F2"/>
    <mergeCell ref="B11:G1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H35"/>
  <sheetViews>
    <sheetView zoomScale="70" zoomScaleNormal="70" workbookViewId="0">
      <selection activeCell="E32" sqref="E32"/>
    </sheetView>
  </sheetViews>
  <sheetFormatPr baseColWidth="10" defaultColWidth="11.42578125" defaultRowHeight="18"/>
  <cols>
    <col min="1" max="1" width="40.7109375" style="81" customWidth="1"/>
    <col min="2" max="2" width="30.85546875" style="81" bestFit="1" customWidth="1"/>
    <col min="3" max="3" width="36.42578125" style="81" customWidth="1"/>
    <col min="4" max="4" width="30.42578125" style="81" customWidth="1"/>
    <col min="5" max="5" width="28.140625" style="81" customWidth="1"/>
    <col min="6" max="6" width="33.42578125" style="81" hidden="1" customWidth="1"/>
    <col min="7" max="7" width="35.7109375" style="81" hidden="1" customWidth="1"/>
    <col min="8" max="8" width="30.5703125" style="81" bestFit="1" customWidth="1"/>
    <col min="9" max="9" width="11.42578125" style="81"/>
    <col min="10" max="10" width="19.28515625" style="81" bestFit="1" customWidth="1"/>
    <col min="11" max="16384" width="11.42578125" style="81"/>
  </cols>
  <sheetData>
    <row r="1" spans="1:8" ht="54">
      <c r="A1" s="212" t="s">
        <v>178</v>
      </c>
      <c r="B1" s="885" t="s">
        <v>331</v>
      </c>
      <c r="C1" s="886"/>
      <c r="D1" s="886"/>
      <c r="E1" s="887"/>
      <c r="F1" s="216"/>
      <c r="G1" s="216"/>
    </row>
    <row r="2" spans="1:8">
      <c r="A2" s="212"/>
      <c r="B2" s="888"/>
      <c r="C2" s="889"/>
      <c r="D2" s="889"/>
      <c r="E2" s="890"/>
      <c r="F2" s="216"/>
      <c r="G2" s="216"/>
    </row>
    <row r="3" spans="1:8" ht="36">
      <c r="A3" s="212" t="s">
        <v>179</v>
      </c>
      <c r="B3" s="212" t="s">
        <v>180</v>
      </c>
      <c r="C3" s="213" t="s">
        <v>181</v>
      </c>
      <c r="D3" s="214" t="s">
        <v>329</v>
      </c>
      <c r="E3" s="214" t="s">
        <v>328</v>
      </c>
      <c r="F3" s="214" t="s">
        <v>212</v>
      </c>
      <c r="G3" s="213" t="s">
        <v>183</v>
      </c>
    </row>
    <row r="4" spans="1:8">
      <c r="A4" s="207" t="s">
        <v>184</v>
      </c>
      <c r="B4" s="208">
        <v>25741099331</v>
      </c>
      <c r="C4" s="209">
        <f>+'ASIGNACIONES DIRECTAS INFLEXIBI'!I6</f>
        <v>14701952459</v>
      </c>
      <c r="D4" s="210">
        <f t="shared" ref="D4:D10" si="0">+B4-C4</f>
        <v>11039146872</v>
      </c>
      <c r="E4" s="208">
        <f>+D4</f>
        <v>11039146872</v>
      </c>
      <c r="F4" s="208"/>
      <c r="G4" s="211">
        <f>+D4-E4-F4</f>
        <v>0</v>
      </c>
      <c r="H4" s="220">
        <v>25243786769.7612</v>
      </c>
    </row>
    <row r="5" spans="1:8">
      <c r="A5" s="71" t="s">
        <v>185</v>
      </c>
      <c r="B5" s="72">
        <v>168867948705</v>
      </c>
      <c r="C5" s="73">
        <f>+' PROYECTOS APROBADOS 2019'!G46</f>
        <v>125503455318</v>
      </c>
      <c r="D5" s="74">
        <f t="shared" si="0"/>
        <v>43364493387</v>
      </c>
      <c r="E5" s="75">
        <f>+D5+B25</f>
        <v>95671604433</v>
      </c>
      <c r="F5" s="75">
        <f>+'INICIATIVAS EN FORMULACIÓN '!I9</f>
        <v>18000000000</v>
      </c>
      <c r="G5" s="83"/>
      <c r="H5" s="105">
        <f>+H4-C4</f>
        <v>10541834310.7612</v>
      </c>
    </row>
    <row r="6" spans="1:8">
      <c r="A6" s="76" t="s">
        <v>186</v>
      </c>
      <c r="B6" s="72">
        <v>110802361416.3969</v>
      </c>
      <c r="C6" s="73">
        <f>+' PROYECTOS APROBADOS 2019'!I46</f>
        <v>60981030645</v>
      </c>
      <c r="D6" s="74">
        <f t="shared" si="0"/>
        <v>49821330771.396896</v>
      </c>
      <c r="E6" s="75">
        <f>+D6+B26</f>
        <v>72565227331.396896</v>
      </c>
      <c r="F6" s="75">
        <f>+'INICIATIVAS EN FORMULACIÓN '!J9</f>
        <v>0</v>
      </c>
      <c r="G6" s="83"/>
      <c r="H6" s="105">
        <f>+H4-C4</f>
        <v>10541834310.7612</v>
      </c>
    </row>
    <row r="7" spans="1:8">
      <c r="A7" s="215" t="s">
        <v>187</v>
      </c>
      <c r="B7" s="72">
        <v>7227603443</v>
      </c>
      <c r="C7" s="73">
        <f>+' PROYECTOS APROBADOS 2019'!H46</f>
        <v>0</v>
      </c>
      <c r="D7" s="74">
        <f t="shared" si="0"/>
        <v>7227603443</v>
      </c>
      <c r="E7" s="78">
        <f>+D7</f>
        <v>7227603443</v>
      </c>
      <c r="F7" s="78">
        <f>+'INICIATIVAS EN FORMULACIÓN '!K9</f>
        <v>0</v>
      </c>
      <c r="G7" s="83"/>
      <c r="H7" s="105"/>
    </row>
    <row r="8" spans="1:8" ht="36">
      <c r="A8" s="71" t="s">
        <v>219</v>
      </c>
      <c r="B8" s="79">
        <v>2029649705</v>
      </c>
      <c r="C8" s="72">
        <f>+' PROYECTOS APROBADOS 2019'!K46</f>
        <v>2029649705</v>
      </c>
      <c r="D8" s="74">
        <f t="shared" si="0"/>
        <v>0</v>
      </c>
      <c r="E8" s="80">
        <f>+D8</f>
        <v>0</v>
      </c>
      <c r="F8" s="80">
        <f>+'INICIATIVAS EN FORMULACIÓN '!L9</f>
        <v>0</v>
      </c>
      <c r="G8" s="83"/>
      <c r="H8" s="105"/>
    </row>
    <row r="9" spans="1:8">
      <c r="A9" s="71" t="s">
        <v>188</v>
      </c>
      <c r="B9" s="72">
        <v>80345344985</v>
      </c>
      <c r="C9" s="72">
        <f>+' PROYECTOS APROBADOS 2019'!J46</f>
        <v>25179132781.18</v>
      </c>
      <c r="D9" s="74">
        <f t="shared" si="0"/>
        <v>55166212203.82</v>
      </c>
      <c r="E9" s="80">
        <f>+D9+B27</f>
        <v>88222066167.820007</v>
      </c>
      <c r="F9" s="80">
        <f>+'INICIATIVAS EN FORMULACIÓN '!M9</f>
        <v>0</v>
      </c>
      <c r="G9" s="83"/>
      <c r="H9" s="105"/>
    </row>
    <row r="10" spans="1:8">
      <c r="A10" s="71" t="s">
        <v>189</v>
      </c>
      <c r="B10" s="79">
        <v>13486697322</v>
      </c>
      <c r="C10" s="72">
        <f>+' PROYECTOS APROBADOS 2019'!L46</f>
        <v>13486697322</v>
      </c>
      <c r="D10" s="74">
        <f t="shared" si="0"/>
        <v>0</v>
      </c>
      <c r="E10" s="80">
        <f>+D10</f>
        <v>0</v>
      </c>
      <c r="F10" s="80">
        <f>+'INICIATIVAS EN FORMULACIÓN '!N9</f>
        <v>0</v>
      </c>
      <c r="G10" s="83"/>
    </row>
    <row r="11" spans="1:8">
      <c r="A11" s="71" t="s">
        <v>190</v>
      </c>
      <c r="B11" s="127">
        <f>SUM(B4:B10)</f>
        <v>408500704907.39691</v>
      </c>
      <c r="C11" s="127">
        <f>SUM(C4:C10)</f>
        <v>241881918230.17999</v>
      </c>
      <c r="D11" s="128">
        <f>SUM(D4:D10)</f>
        <v>166618786677.21689</v>
      </c>
      <c r="E11" s="128">
        <f>SUM(E4:E10)</f>
        <v>274725648247.21692</v>
      </c>
      <c r="F11" s="128">
        <f>SUM(F4:F10)</f>
        <v>18000000000</v>
      </c>
      <c r="G11" s="128"/>
      <c r="H11" s="105"/>
    </row>
    <row r="12" spans="1:8">
      <c r="B12" s="105"/>
      <c r="D12" s="82"/>
      <c r="G12" s="82"/>
      <c r="H12" s="105"/>
    </row>
    <row r="13" spans="1:8">
      <c r="B13" s="105"/>
      <c r="D13" s="82"/>
      <c r="G13" s="82"/>
      <c r="H13" s="105"/>
    </row>
    <row r="14" spans="1:8" ht="18" customHeight="1">
      <c r="A14" s="883" t="s">
        <v>332</v>
      </c>
      <c r="B14" s="891" t="s">
        <v>333</v>
      </c>
      <c r="C14" s="892"/>
      <c r="D14" s="892"/>
      <c r="E14" s="893"/>
      <c r="F14" s="217"/>
      <c r="G14" s="217"/>
      <c r="H14" s="105"/>
    </row>
    <row r="15" spans="1:8" ht="32.25" customHeight="1">
      <c r="A15" s="884"/>
      <c r="B15" s="894"/>
      <c r="C15" s="895"/>
      <c r="D15" s="895"/>
      <c r="E15" s="896"/>
      <c r="F15" s="218"/>
      <c r="G15" s="218"/>
      <c r="H15" s="105"/>
    </row>
    <row r="16" spans="1:8">
      <c r="B16" s="105"/>
      <c r="C16" s="153"/>
      <c r="D16" s="153"/>
      <c r="E16" s="105"/>
    </row>
    <row r="17" spans="1:8">
      <c r="B17" s="105"/>
      <c r="C17" s="153"/>
      <c r="D17" s="153"/>
      <c r="E17" s="105"/>
    </row>
    <row r="18" spans="1:8" ht="18.75" thickBot="1">
      <c r="B18" s="105"/>
      <c r="C18" s="153"/>
      <c r="D18" s="153"/>
      <c r="E18" s="105"/>
    </row>
    <row r="19" spans="1:8" ht="54" customHeight="1">
      <c r="A19" s="160" t="s">
        <v>330</v>
      </c>
      <c r="B19" s="158">
        <f>+E5+E6+E7</f>
        <v>175464435207.39691</v>
      </c>
      <c r="C19" s="154"/>
      <c r="D19" s="157"/>
      <c r="F19" s="141" t="s">
        <v>259</v>
      </c>
      <c r="G19" s="86">
        <f>+G6+G5</f>
        <v>0</v>
      </c>
      <c r="H19" s="82"/>
    </row>
    <row r="20" spans="1:8" ht="30.75" hidden="1" customHeight="1" thickBot="1">
      <c r="A20" s="161" t="s">
        <v>272</v>
      </c>
      <c r="B20" s="159">
        <v>10960277386</v>
      </c>
      <c r="C20" s="92"/>
      <c r="D20" s="92"/>
    </row>
    <row r="21" spans="1:8">
      <c r="B21" s="140"/>
      <c r="C21" s="92"/>
      <c r="D21" s="92"/>
      <c r="H21" s="184"/>
    </row>
    <row r="22" spans="1:8">
      <c r="B22" s="105"/>
      <c r="C22" s="82"/>
      <c r="E22" s="92"/>
      <c r="F22" s="91"/>
      <c r="H22" s="184"/>
    </row>
    <row r="23" spans="1:8">
      <c r="A23" s="205" t="s">
        <v>275</v>
      </c>
      <c r="B23" s="200" t="s">
        <v>326</v>
      </c>
      <c r="C23" s="201" t="s">
        <v>328</v>
      </c>
      <c r="D23" s="105"/>
      <c r="E23" s="92"/>
      <c r="F23" s="91"/>
      <c r="G23" s="81" t="s">
        <v>218</v>
      </c>
      <c r="H23" s="184"/>
    </row>
    <row r="24" spans="1:8">
      <c r="A24" s="221" t="s">
        <v>334</v>
      </c>
      <c r="B24" s="199">
        <v>497312562</v>
      </c>
      <c r="C24" s="199">
        <f>+E4</f>
        <v>11039146872</v>
      </c>
      <c r="D24" s="105"/>
      <c r="E24" s="92"/>
      <c r="F24" s="91"/>
      <c r="H24" s="184"/>
    </row>
    <row r="25" spans="1:8">
      <c r="A25" s="198" t="s">
        <v>327</v>
      </c>
      <c r="B25" s="199">
        <v>52307111046</v>
      </c>
      <c r="C25" s="199">
        <f>+D5+B25+D7</f>
        <v>102899207876</v>
      </c>
      <c r="H25" s="184"/>
    </row>
    <row r="26" spans="1:8">
      <c r="A26" s="198" t="s">
        <v>150</v>
      </c>
      <c r="B26" s="199">
        <v>22743896560</v>
      </c>
      <c r="C26" s="199">
        <f>+B26+D6</f>
        <v>72565227331.396896</v>
      </c>
    </row>
    <row r="27" spans="1:8">
      <c r="A27" s="198" t="s">
        <v>237</v>
      </c>
      <c r="B27" s="199">
        <v>33055853964</v>
      </c>
      <c r="C27" s="199">
        <f>+B27+D9</f>
        <v>88222066167.820007</v>
      </c>
    </row>
    <row r="28" spans="1:8">
      <c r="A28" s="882" t="s">
        <v>190</v>
      </c>
      <c r="B28" s="882"/>
      <c r="C28" s="202">
        <f>+C25+C26+C27</f>
        <v>263686501375.21692</v>
      </c>
      <c r="D28" s="187"/>
    </row>
    <row r="29" spans="1:8">
      <c r="B29" s="155"/>
    </row>
    <row r="30" spans="1:8">
      <c r="B30" s="156"/>
    </row>
    <row r="31" spans="1:8">
      <c r="B31" s="153"/>
    </row>
    <row r="32" spans="1:8">
      <c r="C32" s="91">
        <v>0.2</v>
      </c>
    </row>
    <row r="33" spans="3:3">
      <c r="C33" s="92">
        <f>+C26*C32</f>
        <v>14513045466.279381</v>
      </c>
    </row>
    <row r="35" spans="3:3">
      <c r="C35" s="219">
        <f>+C26-C33</f>
        <v>58052181865.117516</v>
      </c>
    </row>
  </sheetData>
  <mergeCells count="4">
    <mergeCell ref="A28:B28"/>
    <mergeCell ref="A14:A15"/>
    <mergeCell ref="B1:E2"/>
    <mergeCell ref="B14:E15"/>
  </mergeCells>
  <pageMargins left="0.25" right="0.25" top="0.75" bottom="0.75" header="0.3" footer="0.3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6</vt:i4>
      </vt:variant>
    </vt:vector>
  </HeadingPairs>
  <TitlesOfParts>
    <vt:vector size="37" baseType="lpstr">
      <vt:lpstr>APROBADO</vt:lpstr>
      <vt:lpstr>SALDOS 2019</vt:lpstr>
      <vt:lpstr>Hoja3</vt:lpstr>
      <vt:lpstr>Hoja4</vt:lpstr>
      <vt:lpstr>Hoja5</vt:lpstr>
      <vt:lpstr>Hoja6</vt:lpstr>
      <vt:lpstr>Hoja7</vt:lpstr>
      <vt:lpstr>Hoja8</vt:lpstr>
      <vt:lpstr>Hoja2</vt:lpstr>
      <vt:lpstr> PROYECTOS APROBADOS 2019</vt:lpstr>
      <vt:lpstr>SALDOS 2020</vt:lpstr>
      <vt:lpstr> PROYECTOS APROBADOS 2020</vt:lpstr>
      <vt:lpstr>Hoja11</vt:lpstr>
      <vt:lpstr>Hoja9</vt:lpstr>
      <vt:lpstr>SALDOS 2021</vt:lpstr>
      <vt:lpstr> PROYECTOS APROBADOS 2021</vt:lpstr>
      <vt:lpstr>otro</vt:lpstr>
      <vt:lpstr>BALANCE RECURSOS 2022</vt:lpstr>
      <vt:lpstr>BALANCE RECURSOS 2022 (2)</vt:lpstr>
      <vt:lpstr>SALDOS 2022</vt:lpstr>
      <vt:lpstr> PROYECTOS APROBADOS 2022</vt:lpstr>
      <vt:lpstr>BALANCE RECURSOS 2023</vt:lpstr>
      <vt:lpstr>Balance Cierres</vt:lpstr>
      <vt:lpstr>INICIATIVAS  VERIFICACIÓN 21-22</vt:lpstr>
      <vt:lpstr>Hoja1</vt:lpstr>
      <vt:lpstr>CONSOLIDADO SALDOS </vt:lpstr>
      <vt:lpstr>INICIATIVAS EN FORMULACIÓN </vt:lpstr>
      <vt:lpstr>ASIGNACIONES DIRECTAS INFLEXIBI</vt:lpstr>
      <vt:lpstr>Hoja12</vt:lpstr>
      <vt:lpstr>Hoja10</vt:lpstr>
      <vt:lpstr>DISPONIBLE </vt:lpstr>
      <vt:lpstr>'DISPONIBLE '!Área_de_impresión</vt:lpstr>
      <vt:lpstr>'INICIATIVAS  VERIFICACIÓN 21-22'!Área_de_impresión</vt:lpstr>
      <vt:lpstr>'SALDOS 2019'!Área_de_impresión</vt:lpstr>
      <vt:lpstr>'SALDOS 2020'!Área_de_impresión</vt:lpstr>
      <vt:lpstr>'SALDOS 2021'!Área_de_impresión</vt:lpstr>
      <vt:lpstr>'SALDOS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Andrea Velasquez Marroquin</dc:creator>
  <cp:lastModifiedBy>Liyu Bonilla</cp:lastModifiedBy>
  <cp:lastPrinted>2022-02-08T14:41:32Z</cp:lastPrinted>
  <dcterms:created xsi:type="dcterms:W3CDTF">2019-09-17T14:53:44Z</dcterms:created>
  <dcterms:modified xsi:type="dcterms:W3CDTF">2022-07-11T16:45:03Z</dcterms:modified>
</cp:coreProperties>
</file>