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11.xml" ContentType="application/vnd.openxmlformats-officedocument.spreadsheetml.externalLink+xml"/>
  <Override PartName="/xl/metadata.xml" ContentType="application/vnd.openxmlformats-officedocument.spreadsheetml.sheetMetadata+xml"/>
  <Override PartName="/xl/externalLinks/externalLink6.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comments1.xml" ContentType="application/vnd.openxmlformats-officedocument.spreadsheetml.comments+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tvalbuena\Documents\SEPTIEMBRE\"/>
    </mc:Choice>
  </mc:AlternateContent>
  <bookViews>
    <workbookView xWindow="0" yWindow="0" windowWidth="19200" windowHeight="10395" tabRatio="882" firstSheet="1" activeTab="1"/>
  </bookViews>
  <sheets>
    <sheet name="Instructivo" sheetId="20" r:id="rId1"/>
    <sheet name="Mapa Riesgos" sheetId="1" r:id="rId2"/>
    <sheet name="Hoja2" sheetId="23" r:id="rId3"/>
    <sheet name="Hoja3" sheetId="22" state="hidden" r:id="rId4"/>
    <sheet name="Matriz Calor Inherente" sheetId="18" state="hidden" r:id="rId5"/>
    <sheet name="Matriz Calor Residual" sheetId="19" state="hidden" r:id="rId6"/>
    <sheet name="Tabla probabilidad" sheetId="12" state="hidden" r:id="rId7"/>
    <sheet name="Tabla Impacto" sheetId="13" state="hidden" r:id="rId8"/>
    <sheet name="Tabla Valoración controles" sheetId="15" state="hidden" r:id="rId9"/>
    <sheet name="Opciones Tratamiento" sheetId="16" state="hidden" r:id="rId10"/>
    <sheet name="Hoja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3" hidden="1">Hoja3!$A$1:$C$86</definedName>
    <definedName name="A">#REF!</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10">#REF!</definedName>
    <definedName name="Acc_2">#REF!</definedName>
    <definedName name="Acc_2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cc_d">#REF!</definedName>
    <definedName name="accdd">#REF!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#REF!</definedName>
    <definedName name="clase">'[2]Explicación de los campos'!$G$2:$G$7</definedName>
    <definedName name="Confidencialidad">[2]Hoja2!$N$3:$N$7</definedName>
    <definedName name="ControlTipo">[3]Hoja2!$AI$3:$AI$6</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#REF!</definedName>
    <definedName name="hola">#REF!</definedName>
    <definedName name="Indicadores">#REF!</definedName>
    <definedName name="juan">'[4]Explicación de los campos'!$AU$2:$AU$3</definedName>
    <definedName name="m">#REF!</definedName>
    <definedName name="Monica">#REF!</definedName>
    <definedName name="Objetivos">OFFSET(#REF!,0,0,COUNTA(#REF!)-1,1)</definedName>
    <definedName name="Objjj">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Riesgos">'[4]Explicación de los campos'!$AU$8:$AU$10</definedName>
    <definedName name="SiNo">[3]Hoja2!$AK$3:$AK$4</definedName>
  </definedNames>
  <calcPr calcId="152511"/>
  <pivotCaches>
    <pivotCache cacheId="2" r:id="rId40"/>
  </pivotCaches>
</workbook>
</file>

<file path=xl/calcChain.xml><?xml version="1.0" encoding="utf-8"?>
<calcChain xmlns="http://schemas.openxmlformats.org/spreadsheetml/2006/main">
  <c r="U531" i="1" l="1"/>
  <c r="R531" i="1"/>
  <c r="U530" i="1"/>
  <c r="R530" i="1"/>
  <c r="U529" i="1"/>
  <c r="R529" i="1"/>
  <c r="U528" i="1"/>
  <c r="R528" i="1"/>
  <c r="U527" i="1"/>
  <c r="R527" i="1"/>
  <c r="U526" i="1"/>
  <c r="R526" i="1"/>
  <c r="I526" i="1"/>
  <c r="L528" i="1"/>
  <c r="L529" i="1"/>
  <c r="L527" i="1"/>
  <c r="J526" i="1" l="1"/>
  <c r="Y526" i="1" s="1"/>
  <c r="Y527" i="1"/>
  <c r="Y228" i="1"/>
  <c r="Y227" i="1"/>
  <c r="Y226" i="1"/>
  <c r="Y225" i="1"/>
  <c r="Y224" i="1"/>
  <c r="Y223" i="1"/>
  <c r="Z526" i="1" l="1"/>
  <c r="AA526" i="1"/>
  <c r="AA527" i="1"/>
  <c r="Z527" i="1"/>
  <c r="Y537" i="1"/>
  <c r="Y536" i="1"/>
  <c r="Y535" i="1"/>
  <c r="Y534" i="1"/>
  <c r="Y533" i="1"/>
  <c r="Y532" i="1"/>
  <c r="Y528" i="1" l="1"/>
  <c r="Y529" i="1"/>
  <c r="Y90" i="1"/>
  <c r="Y89" i="1"/>
  <c r="Y88" i="1"/>
  <c r="Y87" i="1"/>
  <c r="Y86" i="1"/>
  <c r="Y85" i="1"/>
  <c r="Y84" i="1"/>
  <c r="Y83" i="1"/>
  <c r="Y82" i="1"/>
  <c r="Y81" i="1"/>
  <c r="Y80" i="1"/>
  <c r="Y79" i="1"/>
  <c r="Z528" i="1" l="1"/>
  <c r="AA528" i="1"/>
  <c r="AA529" i="1"/>
  <c r="Z529" i="1"/>
  <c r="U525" i="1"/>
  <c r="R525" i="1"/>
  <c r="U524" i="1"/>
  <c r="R524" i="1"/>
  <c r="U523" i="1"/>
  <c r="R523" i="1"/>
  <c r="U522" i="1"/>
  <c r="R522" i="1"/>
  <c r="U521" i="1"/>
  <c r="R521" i="1"/>
  <c r="U520" i="1"/>
  <c r="R520" i="1"/>
  <c r="I520" i="1"/>
  <c r="U519" i="1"/>
  <c r="R519" i="1"/>
  <c r="U518" i="1"/>
  <c r="R518" i="1"/>
  <c r="U517" i="1"/>
  <c r="R517" i="1"/>
  <c r="AC518" i="1" s="1"/>
  <c r="AB518" i="1" s="1"/>
  <c r="U516" i="1"/>
  <c r="R516" i="1"/>
  <c r="U515" i="1"/>
  <c r="R515" i="1"/>
  <c r="U514" i="1"/>
  <c r="R514" i="1"/>
  <c r="I514" i="1"/>
  <c r="L523" i="1"/>
  <c r="L515" i="1"/>
  <c r="L522" i="1"/>
  <c r="L516" i="1"/>
  <c r="L521" i="1"/>
  <c r="L524" i="1"/>
  <c r="L517" i="1"/>
  <c r="Y531" i="1" l="1"/>
  <c r="Y530" i="1"/>
  <c r="AC523" i="1"/>
  <c r="AB523" i="1" s="1"/>
  <c r="AC524" i="1"/>
  <c r="AB524" i="1" s="1"/>
  <c r="AC525" i="1"/>
  <c r="AB525" i="1" s="1"/>
  <c r="AC519" i="1"/>
  <c r="AB519" i="1" s="1"/>
  <c r="J520" i="1"/>
  <c r="Y520" i="1" s="1"/>
  <c r="Y523" i="1"/>
  <c r="J514" i="1"/>
  <c r="Y514" i="1" s="1"/>
  <c r="Y524" i="1"/>
  <c r="Y525" i="1"/>
  <c r="Y518" i="1"/>
  <c r="Y519" i="1"/>
  <c r="AA531" i="1" l="1"/>
  <c r="Z531" i="1"/>
  <c r="AA530" i="1"/>
  <c r="Z530" i="1"/>
  <c r="AA525" i="1"/>
  <c r="Z525" i="1"/>
  <c r="AD525" i="1" s="1"/>
  <c r="AA524" i="1"/>
  <c r="Z524" i="1"/>
  <c r="AD524" i="1" s="1"/>
  <c r="AA519" i="1"/>
  <c r="Z519" i="1"/>
  <c r="AD519" i="1" s="1"/>
  <c r="Z514" i="1"/>
  <c r="AA514" i="1"/>
  <c r="AA518" i="1"/>
  <c r="Z518" i="1"/>
  <c r="AD518" i="1" s="1"/>
  <c r="AA523" i="1"/>
  <c r="Z523" i="1"/>
  <c r="AD523" i="1" s="1"/>
  <c r="AA520" i="1"/>
  <c r="Y521" i="1" s="1"/>
  <c r="Z520" i="1"/>
  <c r="Z521" i="1" l="1"/>
  <c r="AA521" i="1"/>
  <c r="Y522" i="1" s="1"/>
  <c r="Y515" i="1"/>
  <c r="Y516" i="1"/>
  <c r="AA515" i="1" l="1"/>
  <c r="Z515" i="1"/>
  <c r="AA522" i="1"/>
  <c r="Z522" i="1"/>
  <c r="Z516" i="1"/>
  <c r="AA516" i="1"/>
  <c r="Y517" i="1" s="1"/>
  <c r="AA517" i="1" l="1"/>
  <c r="Z517" i="1"/>
  <c r="L520" i="1" l="1"/>
  <c r="M520" i="1" s="1"/>
  <c r="L514" i="1"/>
  <c r="M514" i="1" s="1"/>
  <c r="N514" i="1" l="1"/>
  <c r="O514" i="1"/>
  <c r="N520" i="1"/>
  <c r="AC520" i="1" s="1"/>
  <c r="O520" i="1"/>
  <c r="AB520" i="1" l="1"/>
  <c r="AD520" i="1" s="1"/>
  <c r="AC522" i="1"/>
  <c r="AB522" i="1" s="1"/>
  <c r="AD522" i="1" s="1"/>
  <c r="AC521" i="1"/>
  <c r="AB521" i="1" s="1"/>
  <c r="AD521" i="1" s="1"/>
  <c r="AC515" i="1"/>
  <c r="AC514" i="1"/>
  <c r="AB514" i="1" s="1"/>
  <c r="AD514" i="1" s="1"/>
  <c r="AB515" i="1" l="1"/>
  <c r="AD515" i="1" s="1"/>
  <c r="AC516" i="1"/>
  <c r="AB516" i="1" s="1"/>
  <c r="AD516" i="1" s="1"/>
  <c r="AC517" i="1"/>
  <c r="AB517" i="1" s="1"/>
  <c r="AD517" i="1" s="1"/>
  <c r="U513" i="1" l="1"/>
  <c r="R513" i="1"/>
  <c r="U512" i="1"/>
  <c r="R512" i="1"/>
  <c r="U511" i="1"/>
  <c r="R511" i="1"/>
  <c r="U510" i="1"/>
  <c r="R510" i="1"/>
  <c r="U509" i="1"/>
  <c r="R509" i="1"/>
  <c r="U508" i="1"/>
  <c r="R508" i="1"/>
  <c r="I508" i="1"/>
  <c r="L511" i="1"/>
  <c r="L510" i="1"/>
  <c r="L509" i="1"/>
  <c r="AC513" i="1" l="1"/>
  <c r="AB513" i="1" s="1"/>
  <c r="J508" i="1"/>
  <c r="Y508" i="1" s="1"/>
  <c r="Y513" i="1"/>
  <c r="AA508" i="1" l="1"/>
  <c r="Y509" i="1" s="1"/>
  <c r="Z508" i="1"/>
  <c r="AA513" i="1"/>
  <c r="Z513" i="1"/>
  <c r="AD513" i="1" s="1"/>
  <c r="Z509" i="1" l="1"/>
  <c r="AA509" i="1"/>
  <c r="Y510" i="1" s="1"/>
  <c r="AA510" i="1" l="1"/>
  <c r="Y511" i="1" s="1"/>
  <c r="Z510" i="1"/>
  <c r="AA511" i="1" l="1"/>
  <c r="Y512" i="1" s="1"/>
  <c r="Z511" i="1"/>
  <c r="AA512" i="1" l="1"/>
  <c r="Z512" i="1"/>
  <c r="L508" i="1" l="1"/>
  <c r="M508" i="1" s="1"/>
  <c r="N508" i="1" l="1"/>
  <c r="AC508" i="1" s="1"/>
  <c r="O508" i="1"/>
  <c r="AB508" i="1" l="1"/>
  <c r="AD508" i="1" s="1"/>
  <c r="AC509" i="1"/>
  <c r="AB509" i="1" l="1"/>
  <c r="AD509" i="1" s="1"/>
  <c r="AC510" i="1"/>
  <c r="AB510" i="1" l="1"/>
  <c r="AD510" i="1" s="1"/>
  <c r="AC511" i="1"/>
  <c r="AB511" i="1" l="1"/>
  <c r="AD511" i="1" s="1"/>
  <c r="AC512" i="1"/>
  <c r="AB512" i="1" s="1"/>
  <c r="AD512" i="1" s="1"/>
  <c r="U507" i="1" l="1"/>
  <c r="R507" i="1"/>
  <c r="U506" i="1"/>
  <c r="R506" i="1"/>
  <c r="U505" i="1"/>
  <c r="R505" i="1"/>
  <c r="U504" i="1"/>
  <c r="R504" i="1"/>
  <c r="U503" i="1"/>
  <c r="R503" i="1"/>
  <c r="U502" i="1"/>
  <c r="R502" i="1"/>
  <c r="U501" i="1"/>
  <c r="R501" i="1"/>
  <c r="I501" i="1"/>
  <c r="J501" i="1" s="1"/>
  <c r="U500" i="1"/>
  <c r="R500" i="1"/>
  <c r="U499" i="1"/>
  <c r="R499" i="1"/>
  <c r="U498" i="1"/>
  <c r="R498" i="1"/>
  <c r="U497" i="1"/>
  <c r="R497" i="1"/>
  <c r="U496" i="1"/>
  <c r="R496" i="1"/>
  <c r="U495" i="1"/>
  <c r="R495" i="1"/>
  <c r="I495" i="1"/>
  <c r="L498" i="1"/>
  <c r="L505" i="1"/>
  <c r="L502" i="1"/>
  <c r="L496" i="1"/>
  <c r="L503" i="1"/>
  <c r="L504" i="1"/>
  <c r="L497" i="1"/>
  <c r="Y501" i="1" l="1"/>
  <c r="Z501" i="1" s="1"/>
  <c r="J495" i="1"/>
  <c r="Y495" i="1" s="1"/>
  <c r="AA501" i="1" l="1"/>
  <c r="Y502" i="1" s="1"/>
  <c r="Z502" i="1" s="1"/>
  <c r="AA495" i="1"/>
  <c r="Z495" i="1"/>
  <c r="AA502" i="1" l="1"/>
  <c r="Y503" i="1" s="1"/>
  <c r="AA503" i="1" s="1"/>
  <c r="Y496" i="1"/>
  <c r="Y497" i="1"/>
  <c r="Z503" i="1" l="1"/>
  <c r="Y504" i="1"/>
  <c r="Y505" i="1"/>
  <c r="AA497" i="1"/>
  <c r="Z497" i="1"/>
  <c r="Z496" i="1"/>
  <c r="AA496" i="1"/>
  <c r="AA505" i="1" l="1"/>
  <c r="Y506" i="1" s="1"/>
  <c r="Z505" i="1"/>
  <c r="AA504" i="1"/>
  <c r="Z504" i="1"/>
  <c r="Y498" i="1"/>
  <c r="Y499" i="1"/>
  <c r="AA506" i="1" l="1"/>
  <c r="Y507" i="1" s="1"/>
  <c r="Z506" i="1"/>
  <c r="AA499" i="1"/>
  <c r="Y500" i="1" s="1"/>
  <c r="Z499" i="1"/>
  <c r="AA498" i="1"/>
  <c r="Z498" i="1"/>
  <c r="AA507" i="1" l="1"/>
  <c r="Z507" i="1"/>
  <c r="AA500" i="1"/>
  <c r="Z500" i="1"/>
  <c r="L495" i="1" l="1"/>
  <c r="M495" i="1" s="1"/>
  <c r="N495" i="1" s="1"/>
  <c r="L501" i="1"/>
  <c r="M501" i="1" s="1"/>
  <c r="O495" i="1" l="1"/>
  <c r="N501" i="1"/>
  <c r="AC501" i="1" s="1"/>
  <c r="O501" i="1"/>
  <c r="AC495" i="1"/>
  <c r="AB495" i="1" s="1"/>
  <c r="AD495" i="1" s="1"/>
  <c r="AC496" i="1"/>
  <c r="AB501" i="1" l="1"/>
  <c r="AD501" i="1" s="1"/>
  <c r="AC502" i="1"/>
  <c r="AB496" i="1"/>
  <c r="AD496" i="1" s="1"/>
  <c r="AC498" i="1"/>
  <c r="AC497" i="1"/>
  <c r="AB497" i="1" s="1"/>
  <c r="AD497" i="1" s="1"/>
  <c r="AB502" i="1" l="1"/>
  <c r="AD502" i="1" s="1"/>
  <c r="AC503" i="1"/>
  <c r="AB503" i="1" s="1"/>
  <c r="AD503" i="1" s="1"/>
  <c r="AC504" i="1"/>
  <c r="AB498" i="1"/>
  <c r="AD498" i="1" s="1"/>
  <c r="AC499" i="1"/>
  <c r="AB499" i="1" s="1"/>
  <c r="AD499" i="1" s="1"/>
  <c r="AC500" i="1"/>
  <c r="AB500" i="1" s="1"/>
  <c r="AD500" i="1" s="1"/>
  <c r="AB504" i="1" l="1"/>
  <c r="AD504" i="1" s="1"/>
  <c r="AC505" i="1"/>
  <c r="AB505" i="1" l="1"/>
  <c r="AD505" i="1" s="1"/>
  <c r="AC506" i="1"/>
  <c r="AB506" i="1" s="1"/>
  <c r="AD506" i="1" s="1"/>
  <c r="AC507" i="1"/>
  <c r="AB507" i="1" s="1"/>
  <c r="AD507" i="1" s="1"/>
  <c r="U494" i="1" l="1"/>
  <c r="R494" i="1"/>
  <c r="U493" i="1"/>
  <c r="R493" i="1"/>
  <c r="AC494" i="1" s="1"/>
  <c r="AB494" i="1" s="1"/>
  <c r="U492" i="1"/>
  <c r="R492" i="1"/>
  <c r="U491" i="1"/>
  <c r="R491" i="1"/>
  <c r="U490" i="1"/>
  <c r="R490" i="1"/>
  <c r="U489" i="1"/>
  <c r="R489" i="1"/>
  <c r="I489" i="1"/>
  <c r="J489" i="1" s="1"/>
  <c r="Y489" i="1" s="1"/>
  <c r="U488" i="1"/>
  <c r="R488" i="1"/>
  <c r="U487" i="1"/>
  <c r="R487" i="1"/>
  <c r="AC488" i="1" s="1"/>
  <c r="AB488" i="1" s="1"/>
  <c r="U486" i="1"/>
  <c r="R486" i="1"/>
  <c r="U485" i="1"/>
  <c r="R485" i="1"/>
  <c r="U484" i="1"/>
  <c r="R484" i="1"/>
  <c r="U483" i="1"/>
  <c r="R483" i="1"/>
  <c r="I483" i="1"/>
  <c r="J483" i="1" s="1"/>
  <c r="L484" i="1"/>
  <c r="L490" i="1"/>
  <c r="L491" i="1"/>
  <c r="L493" i="1"/>
  <c r="L492" i="1"/>
  <c r="L486" i="1"/>
  <c r="L485" i="1"/>
  <c r="Y483" i="1" l="1"/>
  <c r="Z483" i="1" s="1"/>
  <c r="AC487" i="1"/>
  <c r="AB487" i="1" s="1"/>
  <c r="Z489" i="1"/>
  <c r="AA489" i="1"/>
  <c r="Y487" i="1"/>
  <c r="Y488" i="1"/>
  <c r="Y494" i="1"/>
  <c r="AA483" i="1" l="1"/>
  <c r="Y484" i="1" s="1"/>
  <c r="AA484" i="1" s="1"/>
  <c r="Y485" i="1" s="1"/>
  <c r="AA488" i="1"/>
  <c r="Z488" i="1"/>
  <c r="AD488" i="1" s="1"/>
  <c r="AA487" i="1"/>
  <c r="Z487" i="1"/>
  <c r="AD487" i="1" s="1"/>
  <c r="AA494" i="1"/>
  <c r="Z494" i="1"/>
  <c r="AD494" i="1" s="1"/>
  <c r="Y490" i="1"/>
  <c r="Y491" i="1"/>
  <c r="Z484" i="1" l="1"/>
  <c r="AA485" i="1"/>
  <c r="Y486" i="1" s="1"/>
  <c r="Z485" i="1"/>
  <c r="AA491" i="1"/>
  <c r="Y492" i="1" s="1"/>
  <c r="Z491" i="1"/>
  <c r="Z490" i="1"/>
  <c r="AA490" i="1"/>
  <c r="AA492" i="1" l="1"/>
  <c r="Y493" i="1" s="1"/>
  <c r="Z492" i="1"/>
  <c r="AA486" i="1"/>
  <c r="Z486" i="1"/>
  <c r="AA493" i="1" l="1"/>
  <c r="Z493" i="1"/>
  <c r="L483" i="1" l="1"/>
  <c r="M483" i="1" s="1"/>
  <c r="L489" i="1"/>
  <c r="M489" i="1" s="1"/>
  <c r="N489" i="1" l="1"/>
  <c r="AC489" i="1" s="1"/>
  <c r="O489" i="1"/>
  <c r="N483" i="1"/>
  <c r="AC483" i="1" s="1"/>
  <c r="O483" i="1"/>
  <c r="AB483" i="1" l="1"/>
  <c r="AD483" i="1" s="1"/>
  <c r="AC484" i="1"/>
  <c r="AB489" i="1"/>
  <c r="AD489" i="1" s="1"/>
  <c r="AC490" i="1"/>
  <c r="AB490" i="1" l="1"/>
  <c r="AD490" i="1" s="1"/>
  <c r="AC492" i="1"/>
  <c r="AC491" i="1"/>
  <c r="AB491" i="1" s="1"/>
  <c r="AD491" i="1" s="1"/>
  <c r="AB484" i="1"/>
  <c r="AD484" i="1" s="1"/>
  <c r="AC485" i="1"/>
  <c r="AB485" i="1" l="1"/>
  <c r="AD485" i="1" s="1"/>
  <c r="AC486" i="1"/>
  <c r="AB486" i="1" s="1"/>
  <c r="AD486" i="1" s="1"/>
  <c r="AB492" i="1"/>
  <c r="AD492" i="1" s="1"/>
  <c r="AC493" i="1"/>
  <c r="AB493" i="1" s="1"/>
  <c r="AD493" i="1" s="1"/>
  <c r="Y450" i="1" l="1"/>
  <c r="Y449" i="1"/>
  <c r="Y448" i="1"/>
  <c r="Y447" i="1"/>
  <c r="Y446" i="1"/>
  <c r="Y445" i="1"/>
  <c r="Y444" i="1"/>
  <c r="Y443" i="1"/>
  <c r="Y442" i="1"/>
  <c r="Y441" i="1"/>
  <c r="Y440" i="1"/>
  <c r="Y439" i="1"/>
  <c r="U482" i="1" l="1"/>
  <c r="R482" i="1"/>
  <c r="U481" i="1"/>
  <c r="R481" i="1"/>
  <c r="U480" i="1"/>
  <c r="R480" i="1"/>
  <c r="U479" i="1"/>
  <c r="R479" i="1"/>
  <c r="U478" i="1"/>
  <c r="R478" i="1"/>
  <c r="U477" i="1"/>
  <c r="R477" i="1"/>
  <c r="U476" i="1"/>
  <c r="R476" i="1"/>
  <c r="L476" i="1"/>
  <c r="M476" i="1" s="1"/>
  <c r="N476" i="1" s="1"/>
  <c r="I476" i="1"/>
  <c r="U475" i="1"/>
  <c r="R475" i="1"/>
  <c r="U474" i="1"/>
  <c r="R474" i="1"/>
  <c r="U473" i="1"/>
  <c r="R473" i="1"/>
  <c r="U472" i="1"/>
  <c r="R472" i="1"/>
  <c r="U471" i="1"/>
  <c r="R471" i="1"/>
  <c r="U470" i="1"/>
  <c r="R470" i="1"/>
  <c r="U469" i="1"/>
  <c r="R469" i="1"/>
  <c r="L469" i="1"/>
  <c r="M469" i="1" s="1"/>
  <c r="N469" i="1" s="1"/>
  <c r="AC469" i="1" s="1"/>
  <c r="AB469" i="1" s="1"/>
  <c r="I469" i="1"/>
  <c r="L478" i="1"/>
  <c r="L472" i="1"/>
  <c r="L477" i="1"/>
  <c r="L471" i="1"/>
  <c r="L479" i="1"/>
  <c r="L480" i="1"/>
  <c r="L470" i="1"/>
  <c r="AC477" i="1" l="1"/>
  <c r="AB477" i="1" s="1"/>
  <c r="O476" i="1"/>
  <c r="O469" i="1"/>
  <c r="AC470" i="1"/>
  <c r="AB470" i="1" s="1"/>
  <c r="J469" i="1"/>
  <c r="Y469" i="1" s="1"/>
  <c r="AC476" i="1"/>
  <c r="AB476" i="1" s="1"/>
  <c r="J476" i="1"/>
  <c r="Y476" i="1" s="1"/>
  <c r="AC478" i="1" l="1"/>
  <c r="AB478" i="1" s="1"/>
  <c r="Z476" i="1"/>
  <c r="AD476" i="1" s="1"/>
  <c r="AA476" i="1"/>
  <c r="Y477" i="1" s="1"/>
  <c r="AA469" i="1"/>
  <c r="Z469" i="1"/>
  <c r="AD469" i="1" s="1"/>
  <c r="AC471" i="1"/>
  <c r="AC480" i="1" l="1"/>
  <c r="AB480" i="1" s="1"/>
  <c r="AC479" i="1"/>
  <c r="AB479" i="1" s="1"/>
  <c r="AB471" i="1"/>
  <c r="AC472" i="1"/>
  <c r="Y470" i="1"/>
  <c r="Y471" i="1"/>
  <c r="AA477" i="1"/>
  <c r="Z477" i="1"/>
  <c r="AD477" i="1" s="1"/>
  <c r="AC481" i="1" l="1"/>
  <c r="AC482" i="1" s="1"/>
  <c r="AB482" i="1" s="1"/>
  <c r="AB472" i="1"/>
  <c r="AC474" i="1"/>
  <c r="AC473" i="1"/>
  <c r="AB473" i="1" s="1"/>
  <c r="Y479" i="1"/>
  <c r="Y478" i="1"/>
  <c r="AA471" i="1"/>
  <c r="Y472" i="1" s="1"/>
  <c r="Z471" i="1"/>
  <c r="AD471" i="1" s="1"/>
  <c r="AB481" i="1"/>
  <c r="Z470" i="1"/>
  <c r="AD470" i="1" s="1"/>
  <c r="AA470" i="1"/>
  <c r="AA479" i="1" l="1"/>
  <c r="Y480" i="1" s="1"/>
  <c r="Z479" i="1"/>
  <c r="AD479" i="1" s="1"/>
  <c r="AA472" i="1"/>
  <c r="Y473" i="1" s="1"/>
  <c r="Z472" i="1"/>
  <c r="AD472" i="1" s="1"/>
  <c r="AB474" i="1"/>
  <c r="AC475" i="1"/>
  <c r="AB475" i="1" s="1"/>
  <c r="AA478" i="1"/>
  <c r="Z478" i="1"/>
  <c r="AD478" i="1" s="1"/>
  <c r="AA473" i="1" l="1"/>
  <c r="Y474" i="1" s="1"/>
  <c r="Z473" i="1"/>
  <c r="AD473" i="1" s="1"/>
  <c r="Z480" i="1"/>
  <c r="AD480" i="1" s="1"/>
  <c r="AA480" i="1"/>
  <c r="Y481" i="1" s="1"/>
  <c r="Z481" i="1" l="1"/>
  <c r="AD481" i="1" s="1"/>
  <c r="AA481" i="1"/>
  <c r="Y482" i="1" s="1"/>
  <c r="AA474" i="1"/>
  <c r="Y475" i="1" s="1"/>
  <c r="Z474" i="1"/>
  <c r="AD474" i="1" s="1"/>
  <c r="AA475" i="1" l="1"/>
  <c r="Z475" i="1"/>
  <c r="AD475" i="1" s="1"/>
  <c r="Z482" i="1"/>
  <c r="AD482" i="1" s="1"/>
  <c r="AA482" i="1"/>
  <c r="Y468" i="1" l="1"/>
  <c r="Y467" i="1"/>
  <c r="Y466" i="1"/>
  <c r="Y465" i="1"/>
  <c r="Y464" i="1"/>
  <c r="Y463" i="1"/>
  <c r="U462" i="1" l="1"/>
  <c r="R462" i="1"/>
  <c r="U461" i="1"/>
  <c r="R461" i="1"/>
  <c r="U460" i="1"/>
  <c r="R460" i="1"/>
  <c r="U459" i="1"/>
  <c r="R459" i="1"/>
  <c r="U458" i="1"/>
  <c r="R458" i="1"/>
  <c r="U457" i="1"/>
  <c r="R457" i="1"/>
  <c r="I457" i="1"/>
  <c r="U456" i="1"/>
  <c r="R456" i="1"/>
  <c r="U455" i="1"/>
  <c r="R455" i="1"/>
  <c r="U454" i="1"/>
  <c r="R454" i="1"/>
  <c r="U453" i="1"/>
  <c r="R453" i="1"/>
  <c r="U452" i="1"/>
  <c r="R452" i="1"/>
  <c r="U451" i="1"/>
  <c r="R451" i="1"/>
  <c r="I451" i="1"/>
  <c r="J451" i="1" s="1"/>
  <c r="Y460" i="1" l="1"/>
  <c r="Z460" i="1" s="1"/>
  <c r="AC461" i="1"/>
  <c r="AB461" i="1" s="1"/>
  <c r="AC462" i="1"/>
  <c r="AB462" i="1" s="1"/>
  <c r="Y459" i="1"/>
  <c r="Z459" i="1" s="1"/>
  <c r="Y461" i="1"/>
  <c r="Z461" i="1" s="1"/>
  <c r="AC459" i="1"/>
  <c r="AB459" i="1" s="1"/>
  <c r="AC460" i="1"/>
  <c r="AB460" i="1" s="1"/>
  <c r="Y462" i="1"/>
  <c r="Z462" i="1" s="1"/>
  <c r="AD462" i="1" s="1"/>
  <c r="Y451" i="1"/>
  <c r="AA460" i="1"/>
  <c r="J457" i="1"/>
  <c r="Y457" i="1" s="1"/>
  <c r="AD460" i="1" l="1"/>
  <c r="AD461" i="1"/>
  <c r="AA461" i="1"/>
  <c r="AA459" i="1"/>
  <c r="AD459" i="1"/>
  <c r="AA462" i="1"/>
  <c r="Z457" i="1"/>
  <c r="AA457" i="1"/>
  <c r="Y458" i="1" s="1"/>
  <c r="AA451" i="1"/>
  <c r="Y452" i="1" s="1"/>
  <c r="Z451" i="1"/>
  <c r="AA452" i="1" l="1"/>
  <c r="Y453" i="1" s="1"/>
  <c r="Z452" i="1"/>
  <c r="Z458" i="1"/>
  <c r="AA458" i="1"/>
  <c r="AA453" i="1" l="1"/>
  <c r="Y454" i="1" s="1"/>
  <c r="Z453" i="1"/>
  <c r="AA454" i="1" l="1"/>
  <c r="Y455" i="1" s="1"/>
  <c r="Z454" i="1"/>
  <c r="AA455" i="1" l="1"/>
  <c r="Y456" i="1" s="1"/>
  <c r="Z455" i="1"/>
  <c r="AA456" i="1" l="1"/>
  <c r="Z456" i="1"/>
  <c r="L451" i="1" l="1"/>
  <c r="M451" i="1" s="1"/>
  <c r="L457" i="1"/>
  <c r="M457" i="1" s="1"/>
  <c r="N457" i="1" l="1"/>
  <c r="AC457" i="1" s="1"/>
  <c r="O457" i="1"/>
  <c r="N451" i="1"/>
  <c r="AC451" i="1" s="1"/>
  <c r="O451" i="1"/>
  <c r="AB451" i="1" l="1"/>
  <c r="AD451" i="1" s="1"/>
  <c r="AC452" i="1"/>
  <c r="AC458" i="1"/>
  <c r="AB458" i="1" s="1"/>
  <c r="AD458" i="1" s="1"/>
  <c r="AB457" i="1"/>
  <c r="AD457" i="1" s="1"/>
  <c r="AB452" i="1" l="1"/>
  <c r="AD452" i="1" s="1"/>
  <c r="AC453" i="1"/>
  <c r="AB453" i="1" l="1"/>
  <c r="AD453" i="1" s="1"/>
  <c r="AC454" i="1"/>
  <c r="AB454" i="1" l="1"/>
  <c r="AD454" i="1" s="1"/>
  <c r="AC455" i="1"/>
  <c r="AB455" i="1" l="1"/>
  <c r="AD455" i="1" s="1"/>
  <c r="AC456" i="1"/>
  <c r="AB456" i="1" s="1"/>
  <c r="AD456" i="1" s="1"/>
  <c r="Y438" i="1" l="1"/>
  <c r="Y437" i="1"/>
  <c r="Y436" i="1"/>
  <c r="Y435" i="1"/>
  <c r="Y434" i="1"/>
  <c r="Y433" i="1"/>
  <c r="Y432" i="1" l="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U396" i="1" l="1"/>
  <c r="R396" i="1"/>
  <c r="U395" i="1"/>
  <c r="R395" i="1"/>
  <c r="U394" i="1"/>
  <c r="R394" i="1"/>
  <c r="U393" i="1"/>
  <c r="R393" i="1"/>
  <c r="U392" i="1"/>
  <c r="R392" i="1"/>
  <c r="U391" i="1"/>
  <c r="R391" i="1"/>
  <c r="L391" i="1"/>
  <c r="M391" i="1" s="1"/>
  <c r="N391" i="1" s="1"/>
  <c r="AC391" i="1" s="1"/>
  <c r="AB391" i="1" s="1"/>
  <c r="I391" i="1"/>
  <c r="L392" i="1"/>
  <c r="L396" i="1"/>
  <c r="L393" i="1"/>
  <c r="L394" i="1"/>
  <c r="L395" i="1"/>
  <c r="AC392" i="1" l="1"/>
  <c r="AB392" i="1" s="1"/>
  <c r="O391" i="1"/>
  <c r="J391" i="1"/>
  <c r="Y391" i="1" s="1"/>
  <c r="AC393" i="1" l="1"/>
  <c r="AB393" i="1" s="1"/>
  <c r="AA391" i="1"/>
  <c r="Y392" i="1" s="1"/>
  <c r="Z391" i="1"/>
  <c r="AD391" i="1" s="1"/>
  <c r="AC394" i="1" l="1"/>
  <c r="AB394" i="1" s="1"/>
  <c r="Z392" i="1"/>
  <c r="AD392" i="1" s="1"/>
  <c r="AA392" i="1"/>
  <c r="Y393" i="1" s="1"/>
  <c r="AC395" i="1" l="1"/>
  <c r="AB395" i="1" s="1"/>
  <c r="Z393" i="1"/>
  <c r="AD393" i="1" s="1"/>
  <c r="AA393" i="1"/>
  <c r="Y394" i="1" s="1"/>
  <c r="AC396" i="1" l="1"/>
  <c r="AB396" i="1" s="1"/>
  <c r="AA394" i="1"/>
  <c r="Y395" i="1" s="1"/>
  <c r="Z394" i="1"/>
  <c r="AD394" i="1" s="1"/>
  <c r="AA395" i="1" l="1"/>
  <c r="Y396" i="1" s="1"/>
  <c r="Z395" i="1"/>
  <c r="AD395" i="1" s="1"/>
  <c r="Z396" i="1" l="1"/>
  <c r="AD396" i="1" s="1"/>
  <c r="AA396" i="1"/>
  <c r="Y390" i="1" l="1"/>
  <c r="Y389" i="1"/>
  <c r="Y388" i="1"/>
  <c r="Y387" i="1"/>
  <c r="Y386" i="1"/>
  <c r="Y385" i="1"/>
  <c r="Y384" i="1"/>
  <c r="Y383" i="1"/>
  <c r="Y382" i="1"/>
  <c r="Y381" i="1"/>
  <c r="Y380" i="1"/>
  <c r="Y379" i="1"/>
  <c r="Y378" i="1"/>
  <c r="Y377" i="1"/>
  <c r="Y376" i="1"/>
  <c r="Y375" i="1"/>
  <c r="Y374" i="1"/>
  <c r="Y373" i="1"/>
  <c r="Y372" i="1" l="1"/>
  <c r="Y371" i="1"/>
  <c r="Y370" i="1"/>
  <c r="Y369" i="1"/>
  <c r="Y368" i="1"/>
  <c r="Y367" i="1"/>
  <c r="Y366" i="1"/>
  <c r="Y365" i="1"/>
  <c r="Y364" i="1"/>
  <c r="Y363" i="1"/>
  <c r="Y362" i="1"/>
  <c r="Y361" i="1"/>
  <c r="Y360" i="1" l="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l="1"/>
  <c r="Y329" i="1"/>
  <c r="Y328" i="1"/>
  <c r="Y327" i="1"/>
  <c r="Y326" i="1"/>
  <c r="Y325" i="1"/>
  <c r="Y324" i="1"/>
  <c r="Y323" i="1"/>
  <c r="Y322" i="1"/>
  <c r="Y321" i="1"/>
  <c r="Y320" i="1"/>
  <c r="Y319" i="1"/>
  <c r="Y318" i="1" l="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l="1"/>
  <c r="Y287" i="1"/>
  <c r="Y286" i="1"/>
  <c r="Y285" i="1"/>
  <c r="Y284" i="1"/>
  <c r="Y283" i="1"/>
  <c r="Y282" i="1"/>
  <c r="Y281" i="1"/>
  <c r="Y280" i="1"/>
  <c r="Y279" i="1"/>
  <c r="Y278" i="1"/>
  <c r="Y277" i="1"/>
  <c r="Y276" i="1" l="1"/>
  <c r="Y275" i="1"/>
  <c r="Y274" i="1"/>
  <c r="Y273" i="1"/>
  <c r="Y272" i="1"/>
  <c r="Y271" i="1"/>
  <c r="Y270" i="1"/>
  <c r="Y269" i="1"/>
  <c r="Y268" i="1"/>
  <c r="Y267" i="1"/>
  <c r="Y266" i="1"/>
  <c r="Y265" i="1"/>
  <c r="Y264" i="1"/>
  <c r="Y263" i="1"/>
  <c r="Y262" i="1"/>
  <c r="Y261" i="1"/>
  <c r="Y260" i="1"/>
  <c r="Y259" i="1"/>
  <c r="Y258" i="1" l="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2" i="1"/>
  <c r="Y221" i="1"/>
  <c r="Y220" i="1"/>
  <c r="Y219" i="1"/>
  <c r="Y218" i="1"/>
  <c r="Y217" i="1"/>
  <c r="Y216" i="1" l="1"/>
  <c r="Y215" i="1"/>
  <c r="Y214" i="1"/>
  <c r="Y213" i="1"/>
  <c r="Y212" i="1"/>
  <c r="Y211" i="1"/>
  <c r="Y210" i="1"/>
  <c r="Y209" i="1"/>
  <c r="Y208" i="1"/>
  <c r="Y207" i="1"/>
  <c r="Y206" i="1"/>
  <c r="Y205" i="1"/>
  <c r="Y204" i="1"/>
  <c r="Y203" i="1"/>
  <c r="Y202" i="1"/>
  <c r="Y201" i="1"/>
  <c r="Y200" i="1"/>
  <c r="Y199" i="1"/>
  <c r="Y198" i="1"/>
  <c r="Y197" i="1"/>
  <c r="Y196" i="1"/>
  <c r="Y195" i="1"/>
  <c r="Y194" i="1"/>
  <c r="Y193" i="1"/>
  <c r="Y192" i="1" l="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l="1"/>
  <c r="Y149" i="1"/>
  <c r="Y148" i="1"/>
  <c r="Y147" i="1"/>
  <c r="Y146" i="1"/>
  <c r="Y145" i="1"/>
  <c r="Y144" i="1"/>
  <c r="Y143" i="1"/>
  <c r="Y142" i="1"/>
  <c r="Y141" i="1"/>
  <c r="Y140" i="1"/>
  <c r="Y139" i="1"/>
  <c r="Y138" i="1"/>
  <c r="Y137" i="1"/>
  <c r="Y136" i="1"/>
  <c r="Y135" i="1"/>
  <c r="Y134" i="1"/>
  <c r="Y133" i="1"/>
  <c r="Y132" i="1" l="1"/>
  <c r="Y131" i="1"/>
  <c r="Y130" i="1"/>
  <c r="Y129" i="1"/>
  <c r="Y128" i="1"/>
  <c r="Y127" i="1"/>
  <c r="Y126" i="1"/>
  <c r="Y125" i="1"/>
  <c r="Y124" i="1"/>
  <c r="Y123" i="1"/>
  <c r="Y122" i="1"/>
  <c r="Y121" i="1"/>
  <c r="Y120" i="1"/>
  <c r="Y119" i="1"/>
  <c r="Y118" i="1"/>
  <c r="Y117" i="1"/>
  <c r="Y116" i="1"/>
  <c r="Y115" i="1"/>
  <c r="U114" i="1" l="1"/>
  <c r="R114" i="1"/>
  <c r="U113" i="1"/>
  <c r="R113" i="1"/>
  <c r="U112" i="1"/>
  <c r="R112" i="1"/>
  <c r="Y113" i="1" s="1"/>
  <c r="U111" i="1"/>
  <c r="R111" i="1"/>
  <c r="U110" i="1"/>
  <c r="R110" i="1"/>
  <c r="U109" i="1"/>
  <c r="R109" i="1"/>
  <c r="I109" i="1"/>
  <c r="Y111" i="1" l="1"/>
  <c r="AA111" i="1" s="1"/>
  <c r="AC112" i="1"/>
  <c r="AB112" i="1" s="1"/>
  <c r="AC114" i="1"/>
  <c r="AB114" i="1" s="1"/>
  <c r="AA113" i="1"/>
  <c r="Z113" i="1"/>
  <c r="Y112" i="1"/>
  <c r="Y114" i="1"/>
  <c r="AC111" i="1"/>
  <c r="AB111" i="1" s="1"/>
  <c r="AC113" i="1"/>
  <c r="AB113" i="1" s="1"/>
  <c r="J109" i="1"/>
  <c r="Y109" i="1" s="1"/>
  <c r="Z111" i="1" l="1"/>
  <c r="AD111" i="1" s="1"/>
  <c r="L109" i="1"/>
  <c r="M109" i="1" s="1"/>
  <c r="AA109" i="1"/>
  <c r="Y110" i="1" s="1"/>
  <c r="Z109" i="1"/>
  <c r="Z112" i="1"/>
  <c r="AD112" i="1" s="1"/>
  <c r="AA112" i="1"/>
  <c r="AD113" i="1"/>
  <c r="Z114" i="1"/>
  <c r="AD114" i="1" s="1"/>
  <c r="AA114" i="1"/>
  <c r="Z110" i="1" l="1"/>
  <c r="AA110" i="1"/>
  <c r="N109" i="1"/>
  <c r="AC109" i="1" s="1"/>
  <c r="O109" i="1"/>
  <c r="AB109" i="1" l="1"/>
  <c r="AD109" i="1" s="1"/>
  <c r="AC110" i="1"/>
  <c r="AB110" i="1" s="1"/>
  <c r="AD110" i="1" s="1"/>
  <c r="U108" i="1" l="1"/>
  <c r="R108" i="1"/>
  <c r="U107" i="1"/>
  <c r="R107" i="1"/>
  <c r="AC108" i="1" s="1"/>
  <c r="AB108" i="1" s="1"/>
  <c r="U106" i="1"/>
  <c r="R106" i="1"/>
  <c r="U105" i="1"/>
  <c r="R105" i="1"/>
  <c r="Y106" i="1" s="1"/>
  <c r="U104" i="1"/>
  <c r="R104" i="1"/>
  <c r="U103" i="1"/>
  <c r="R103" i="1"/>
  <c r="L103" i="1"/>
  <c r="M103" i="1" s="1"/>
  <c r="N103" i="1" s="1"/>
  <c r="I103" i="1"/>
  <c r="L105" i="1"/>
  <c r="L108" i="1"/>
  <c r="L106" i="1"/>
  <c r="L107" i="1"/>
  <c r="L104" i="1"/>
  <c r="Y107" i="1" l="1"/>
  <c r="AC106" i="1"/>
  <c r="AB106" i="1" s="1"/>
  <c r="AC107" i="1"/>
  <c r="AB107" i="1" s="1"/>
  <c r="AA106" i="1"/>
  <c r="Z106" i="1"/>
  <c r="O103" i="1"/>
  <c r="Z107" i="1"/>
  <c r="AA107" i="1"/>
  <c r="J103" i="1"/>
  <c r="Y103" i="1" s="1"/>
  <c r="AC103" i="1"/>
  <c r="AB103" i="1" s="1"/>
  <c r="Y108" i="1"/>
  <c r="AD107" i="1" l="1"/>
  <c r="AD106" i="1"/>
  <c r="AC104" i="1"/>
  <c r="AB104" i="1" s="1"/>
  <c r="AA103" i="1"/>
  <c r="Y104" i="1" s="1"/>
  <c r="Z103" i="1"/>
  <c r="AD103" i="1" s="1"/>
  <c r="AA108" i="1"/>
  <c r="Z108" i="1"/>
  <c r="AD108" i="1" s="1"/>
  <c r="AC105" i="1" l="1"/>
  <c r="AB105" i="1" s="1"/>
  <c r="Z104" i="1"/>
  <c r="AD104" i="1" s="1"/>
  <c r="AA104" i="1"/>
  <c r="Y105" i="1" s="1"/>
  <c r="AA105" i="1" l="1"/>
  <c r="Z105" i="1"/>
  <c r="AD105" i="1" s="1"/>
  <c r="Y102" i="1" l="1"/>
  <c r="Y101" i="1"/>
  <c r="Y100" i="1"/>
  <c r="Y99" i="1"/>
  <c r="Y98" i="1"/>
  <c r="Y97" i="1"/>
  <c r="Y96" i="1"/>
  <c r="Y95" i="1"/>
  <c r="Y94" i="1"/>
  <c r="Y93" i="1"/>
  <c r="Y92" i="1"/>
  <c r="Y91" i="1"/>
  <c r="Y78" i="1" l="1"/>
  <c r="Y77" i="1"/>
  <c r="Y76" i="1"/>
  <c r="Y75" i="1"/>
  <c r="Y74" i="1"/>
  <c r="Y73" i="1"/>
  <c r="Y72" i="1" l="1"/>
  <c r="Y71" i="1"/>
  <c r="Y70" i="1"/>
  <c r="Y69" i="1"/>
  <c r="Y68" i="1"/>
  <c r="Y67" i="1"/>
  <c r="U66" i="1" l="1"/>
  <c r="R66" i="1"/>
  <c r="U65" i="1"/>
  <c r="R65" i="1"/>
  <c r="U64" i="1"/>
  <c r="R64" i="1"/>
  <c r="U63" i="1"/>
  <c r="R63" i="1"/>
  <c r="U62" i="1"/>
  <c r="R62" i="1"/>
  <c r="U61" i="1"/>
  <c r="R61" i="1"/>
  <c r="U60" i="1"/>
  <c r="R60" i="1"/>
  <c r="U59" i="1"/>
  <c r="R59" i="1"/>
  <c r="U58" i="1"/>
  <c r="R58" i="1"/>
  <c r="U57" i="1"/>
  <c r="R57" i="1"/>
  <c r="U56" i="1"/>
  <c r="R56" i="1"/>
  <c r="U55" i="1"/>
  <c r="R55" i="1"/>
  <c r="U54" i="1"/>
  <c r="R54" i="1"/>
  <c r="U53" i="1"/>
  <c r="R53" i="1"/>
  <c r="U52" i="1"/>
  <c r="R52" i="1"/>
  <c r="U51" i="1"/>
  <c r="R51" i="1"/>
  <c r="U50" i="1"/>
  <c r="R50" i="1"/>
  <c r="U49" i="1"/>
  <c r="R49" i="1"/>
  <c r="U48" i="1"/>
  <c r="R48" i="1"/>
  <c r="U47" i="1"/>
  <c r="R47" i="1"/>
  <c r="U46" i="1"/>
  <c r="R46" i="1"/>
  <c r="U45" i="1"/>
  <c r="R45" i="1"/>
  <c r="U44" i="1"/>
  <c r="R44" i="1"/>
  <c r="U43" i="1"/>
  <c r="R43" i="1"/>
  <c r="U42" i="1"/>
  <c r="R42" i="1"/>
  <c r="U41" i="1"/>
  <c r="R41" i="1"/>
  <c r="U40" i="1"/>
  <c r="R40" i="1"/>
  <c r="U39" i="1"/>
  <c r="R39" i="1"/>
  <c r="U38" i="1"/>
  <c r="R38" i="1"/>
  <c r="U37" i="1"/>
  <c r="R37" i="1"/>
  <c r="U36" i="1"/>
  <c r="R36" i="1"/>
  <c r="U35" i="1"/>
  <c r="R35" i="1"/>
  <c r="U34" i="1"/>
  <c r="R34" i="1"/>
  <c r="U33" i="1"/>
  <c r="R33" i="1"/>
  <c r="U32" i="1"/>
  <c r="R32" i="1"/>
  <c r="U31" i="1"/>
  <c r="R31" i="1"/>
  <c r="U30" i="1"/>
  <c r="R30" i="1"/>
  <c r="U29" i="1"/>
  <c r="R29" i="1"/>
  <c r="U28" i="1"/>
  <c r="R28" i="1"/>
  <c r="U27" i="1"/>
  <c r="R27" i="1"/>
  <c r="U26" i="1"/>
  <c r="R26" i="1"/>
  <c r="U25" i="1"/>
  <c r="R25" i="1"/>
  <c r="U18" i="1"/>
  <c r="R18" i="1"/>
  <c r="U17" i="1"/>
  <c r="R17" i="1"/>
  <c r="U16" i="1"/>
  <c r="R16" i="1"/>
  <c r="U15" i="1"/>
  <c r="R15" i="1"/>
  <c r="U14" i="1"/>
  <c r="R14" i="1"/>
  <c r="U13" i="1"/>
  <c r="R13" i="1"/>
  <c r="Y48" i="1" l="1"/>
  <c r="Y18" i="1"/>
  <c r="I13" i="1"/>
  <c r="Z48" i="1" l="1"/>
  <c r="AA48" i="1"/>
  <c r="Z18" i="1"/>
  <c r="AA18" i="1"/>
  <c r="I61" i="1"/>
  <c r="I55" i="1"/>
  <c r="I49" i="1"/>
  <c r="I43" i="1"/>
  <c r="I37" i="1"/>
  <c r="I31" i="1"/>
  <c r="I25" i="1"/>
  <c r="I19" i="1"/>
  <c r="R24" i="1" l="1"/>
  <c r="R23" i="1"/>
  <c r="R22" i="1"/>
  <c r="R21" i="1"/>
  <c r="R20" i="1"/>
  <c r="R19" i="1"/>
  <c r="Y65" i="1" l="1"/>
  <c r="AA65" i="1" s="1"/>
  <c r="Y66" i="1"/>
  <c r="Y59" i="1"/>
  <c r="AA59" i="1" s="1"/>
  <c r="Y60" i="1"/>
  <c r="Y53" i="1"/>
  <c r="AA53" i="1" s="1"/>
  <c r="Y54" i="1"/>
  <c r="Y29" i="1"/>
  <c r="AA29" i="1" s="1"/>
  <c r="Y30" i="1"/>
  <c r="J13" i="1"/>
  <c r="Y13" i="1" s="1"/>
  <c r="F221" i="13"/>
  <c r="F211" i="13"/>
  <c r="F212" i="13"/>
  <c r="F213" i="13"/>
  <c r="F214" i="13"/>
  <c r="F215" i="13"/>
  <c r="F216" i="13"/>
  <c r="F217" i="13"/>
  <c r="F218" i="13"/>
  <c r="F219" i="13"/>
  <c r="F220" i="13"/>
  <c r="F210"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J61" i="1"/>
  <c r="Y61" i="1" s="1"/>
  <c r="J55" i="1"/>
  <c r="Y55" i="1" s="1"/>
  <c r="J49" i="1"/>
  <c r="Y49" i="1" s="1"/>
  <c r="J43" i="1"/>
  <c r="Y43" i="1" s="1"/>
  <c r="J37" i="1"/>
  <c r="Y37" i="1" s="1"/>
  <c r="J31" i="1"/>
  <c r="Y31" i="1" s="1"/>
  <c r="J25" i="1"/>
  <c r="Y25" i="1" s="1"/>
  <c r="J19" i="1"/>
  <c r="U24" i="1"/>
  <c r="U23" i="1"/>
  <c r="U22" i="1"/>
  <c r="U21" i="1"/>
  <c r="U20" i="1"/>
  <c r="U19" i="1"/>
  <c r="B221" i="13" a="1"/>
  <c r="L39" i="1"/>
  <c r="L18" i="1"/>
  <c r="L15" i="1"/>
  <c r="L42" i="1"/>
  <c r="L52" i="1"/>
  <c r="L28" i="1"/>
  <c r="L27" i="1"/>
  <c r="L33" i="1"/>
  <c r="L41" i="1"/>
  <c r="L60" i="1"/>
  <c r="L54" i="1"/>
  <c r="L57" i="1"/>
  <c r="L46" i="1"/>
  <c r="L34" i="1"/>
  <c r="L62" i="1"/>
  <c r="L51" i="1"/>
  <c r="L40" i="1"/>
  <c r="L65" i="1"/>
  <c r="L47" i="1"/>
  <c r="L44" i="1"/>
  <c r="L56" i="1"/>
  <c r="L30" i="1"/>
  <c r="L16" i="1"/>
  <c r="L22" i="1"/>
  <c r="L50" i="1"/>
  <c r="L20" i="1"/>
  <c r="L63" i="1"/>
  <c r="L21" i="1"/>
  <c r="L66" i="1"/>
  <c r="L23" i="1"/>
  <c r="L64" i="1"/>
  <c r="L48" i="1"/>
  <c r="L14" i="1"/>
  <c r="L32" i="1"/>
  <c r="L59" i="1"/>
  <c r="L53" i="1"/>
  <c r="L45" i="1"/>
  <c r="L38" i="1"/>
  <c r="L17" i="1"/>
  <c r="L29" i="1"/>
  <c r="L24" i="1"/>
  <c r="L26" i="1"/>
  <c r="L36" i="1"/>
  <c r="L58" i="1"/>
  <c r="L35" i="1"/>
  <c r="Y19" i="1" l="1"/>
  <c r="Z19" i="1" s="1"/>
  <c r="AA61" i="1"/>
  <c r="Y62" i="1" s="1"/>
  <c r="Z61" i="1"/>
  <c r="Z13" i="1"/>
  <c r="AA13" i="1"/>
  <c r="Y14" i="1" s="1"/>
  <c r="Z43" i="1"/>
  <c r="AA43" i="1"/>
  <c r="Y44" i="1" s="1"/>
  <c r="Z49" i="1"/>
  <c r="AA49" i="1"/>
  <c r="Y50" i="1" s="1"/>
  <c r="Z55" i="1"/>
  <c r="AA55" i="1"/>
  <c r="Y56" i="1" s="1"/>
  <c r="Z31" i="1"/>
  <c r="AA31" i="1"/>
  <c r="Y32" i="1" s="1"/>
  <c r="AA25" i="1"/>
  <c r="Y26" i="1" s="1"/>
  <c r="Z25" i="1"/>
  <c r="Z37" i="1"/>
  <c r="AA37" i="1"/>
  <c r="Y38" i="1" s="1"/>
  <c r="Z59" i="1"/>
  <c r="Z29" i="1"/>
  <c r="Z53" i="1"/>
  <c r="Z65" i="1"/>
  <c r="Z66" i="1"/>
  <c r="AA66" i="1"/>
  <c r="Z60" i="1"/>
  <c r="AA60" i="1"/>
  <c r="Z54" i="1"/>
  <c r="AA54" i="1"/>
  <c r="Z30" i="1"/>
  <c r="AA30" i="1"/>
  <c r="B221" i="13"/>
  <c r="H210" i="13"/>
  <c r="AA19" i="1" l="1"/>
  <c r="Y20" i="1" s="1"/>
  <c r="Z20" i="1" s="1"/>
  <c r="AA44" i="1"/>
  <c r="Y45" i="1" s="1"/>
  <c r="Z44" i="1"/>
  <c r="Z14" i="1"/>
  <c r="AA14" i="1"/>
  <c r="Y15" i="1" s="1"/>
  <c r="Z56" i="1"/>
  <c r="AA56" i="1"/>
  <c r="Y57" i="1" s="1"/>
  <c r="Z50" i="1"/>
  <c r="AA50" i="1"/>
  <c r="Y51" i="1" s="1"/>
  <c r="Z62" i="1"/>
  <c r="AA62" i="1"/>
  <c r="Y63" i="1" s="1"/>
  <c r="Z32" i="1"/>
  <c r="AA32" i="1"/>
  <c r="Y33" i="1" s="1"/>
  <c r="AA26" i="1"/>
  <c r="Y27" i="1" s="1"/>
  <c r="Z26" i="1"/>
  <c r="AA38" i="1"/>
  <c r="Y39" i="1" s="1"/>
  <c r="Z38" i="1"/>
  <c r="AA20" i="1" l="1"/>
  <c r="Y21" i="1" s="1"/>
  <c r="AA21" i="1" s="1"/>
  <c r="Y22" i="1" s="1"/>
  <c r="AA22" i="1" s="1"/>
  <c r="Y23" i="1" s="1"/>
  <c r="Z23" i="1" s="1"/>
  <c r="AA51" i="1"/>
  <c r="Y52" i="1" s="1"/>
  <c r="Z51" i="1"/>
  <c r="Z57" i="1"/>
  <c r="AA57" i="1"/>
  <c r="Y58" i="1" s="1"/>
  <c r="Z15" i="1"/>
  <c r="AA15" i="1"/>
  <c r="Y16" i="1" s="1"/>
  <c r="Z63" i="1"/>
  <c r="AA63" i="1"/>
  <c r="Y64" i="1" s="1"/>
  <c r="Z45" i="1"/>
  <c r="AA45" i="1"/>
  <c r="Y46" i="1" s="1"/>
  <c r="Z33" i="1"/>
  <c r="AA33" i="1"/>
  <c r="Y34" i="1" s="1"/>
  <c r="AA27" i="1"/>
  <c r="Y28" i="1" s="1"/>
  <c r="Z27" i="1"/>
  <c r="AA39" i="1"/>
  <c r="Y40" i="1" s="1"/>
  <c r="Z39" i="1"/>
  <c r="AH12" i="18"/>
  <c r="P44" i="18"/>
  <c r="AH28" i="18"/>
  <c r="P20" i="18"/>
  <c r="J20" i="18"/>
  <c r="AB12" i="18"/>
  <c r="V36" i="18"/>
  <c r="AB36" i="18"/>
  <c r="J44" i="18"/>
  <c r="P36" i="18"/>
  <c r="V20" i="18"/>
  <c r="J12" i="18"/>
  <c r="P28" i="18"/>
  <c r="V44" i="18"/>
  <c r="J36" i="18"/>
  <c r="AB28" i="18"/>
  <c r="AB44" i="18"/>
  <c r="AH36" i="18"/>
  <c r="V12" i="18"/>
  <c r="P12" i="18"/>
  <c r="V28" i="18"/>
  <c r="AB20" i="18"/>
  <c r="AH20" i="18"/>
  <c r="AH44" i="18"/>
  <c r="J28" i="18"/>
  <c r="Z21" i="1" l="1"/>
  <c r="AA23" i="1"/>
  <c r="Y24" i="1" s="1"/>
  <c r="Z24" i="1" s="1"/>
  <c r="Z22" i="1"/>
  <c r="AA16" i="1"/>
  <c r="Y17" i="1" s="1"/>
  <c r="Z16" i="1"/>
  <c r="Z58" i="1"/>
  <c r="AA58" i="1"/>
  <c r="Z46" i="1"/>
  <c r="AA46" i="1"/>
  <c r="Y47" i="1" s="1"/>
  <c r="AA64" i="1"/>
  <c r="Z64" i="1"/>
  <c r="Z52" i="1"/>
  <c r="AA52" i="1"/>
  <c r="Z34" i="1"/>
  <c r="AA34" i="1"/>
  <c r="Y35" i="1" s="1"/>
  <c r="Z28" i="1"/>
  <c r="AA28" i="1"/>
  <c r="AA40" i="1"/>
  <c r="Y41" i="1" s="1"/>
  <c r="Z40" i="1"/>
  <c r="AC50" i="1"/>
  <c r="AC38" i="1"/>
  <c r="AC14" i="1"/>
  <c r="AA24" i="1" l="1"/>
  <c r="Z47" i="1"/>
  <c r="AA47" i="1"/>
  <c r="Z17" i="1"/>
  <c r="AA17" i="1"/>
  <c r="Z35" i="1"/>
  <c r="AA35" i="1"/>
  <c r="Y36" i="1" s="1"/>
  <c r="Z41" i="1"/>
  <c r="AA41" i="1"/>
  <c r="Y42" i="1" s="1"/>
  <c r="AC63" i="1"/>
  <c r="AC57" i="1"/>
  <c r="AB50" i="1"/>
  <c r="AD50" i="1" s="1"/>
  <c r="AC51" i="1"/>
  <c r="AB38" i="1"/>
  <c r="AD38" i="1" s="1"/>
  <c r="AC39" i="1"/>
  <c r="AC33" i="1"/>
  <c r="AC27" i="1"/>
  <c r="AB14" i="1"/>
  <c r="AD14" i="1" s="1"/>
  <c r="AC15" i="1"/>
  <c r="Z36" i="1" l="1"/>
  <c r="AA36" i="1"/>
  <c r="Z42" i="1"/>
  <c r="AA42" i="1"/>
  <c r="AC10" i="19"/>
  <c r="AI20" i="19"/>
  <c r="K20" i="19"/>
  <c r="AI50" i="19"/>
  <c r="Q10" i="19"/>
  <c r="W20" i="19"/>
  <c r="AH35" i="19"/>
  <c r="P55" i="19"/>
  <c r="V55" i="19"/>
  <c r="AB15" i="19"/>
  <c r="AH45" i="19"/>
  <c r="J25" i="19"/>
  <c r="V45" i="19"/>
  <c r="J15" i="19"/>
  <c r="AH15" i="19"/>
  <c r="V35" i="19"/>
  <c r="J55" i="19"/>
  <c r="AB55" i="19"/>
  <c r="AH25" i="19"/>
  <c r="AB25" i="19"/>
  <c r="V25" i="19"/>
  <c r="P25" i="19"/>
  <c r="P35" i="19"/>
  <c r="P45" i="19"/>
  <c r="P15" i="19"/>
  <c r="V15" i="19"/>
  <c r="AB35" i="19"/>
  <c r="J45" i="19"/>
  <c r="AB45" i="19"/>
  <c r="J35" i="19"/>
  <c r="AH55" i="19"/>
  <c r="AB63" i="1"/>
  <c r="AC64" i="1"/>
  <c r="AB57" i="1"/>
  <c r="AC58" i="1"/>
  <c r="AB51" i="1"/>
  <c r="AC52" i="1"/>
  <c r="W40" i="19"/>
  <c r="Q50" i="19"/>
  <c r="AC30" i="19"/>
  <c r="Q20" i="19"/>
  <c r="K40" i="19"/>
  <c r="AC50" i="19"/>
  <c r="AC46" i="1"/>
  <c r="W50" i="19"/>
  <c r="AI10" i="19"/>
  <c r="K50" i="19"/>
  <c r="Q30" i="19"/>
  <c r="K30" i="19"/>
  <c r="W10" i="19"/>
  <c r="Q40" i="19"/>
  <c r="W30" i="19"/>
  <c r="AI30" i="19"/>
  <c r="AI40" i="19"/>
  <c r="K10" i="19"/>
  <c r="AC20" i="19"/>
  <c r="AC40" i="19"/>
  <c r="AB39" i="1"/>
  <c r="AC40" i="1"/>
  <c r="AC42" i="1" s="1"/>
  <c r="AB42" i="1" s="1"/>
  <c r="AB33" i="1"/>
  <c r="AD33" i="1" s="1"/>
  <c r="AC34" i="1"/>
  <c r="K26" i="19"/>
  <c r="AB27" i="1"/>
  <c r="AD27" i="1" s="1"/>
  <c r="AC28" i="1"/>
  <c r="AB15" i="1"/>
  <c r="AD15" i="1" s="1"/>
  <c r="AC16" i="1"/>
  <c r="AI26" i="19"/>
  <c r="AC22" i="1"/>
  <c r="AC26" i="19"/>
  <c r="AC36" i="19"/>
  <c r="Q26" i="19"/>
  <c r="K16" i="19"/>
  <c r="AC6" i="19"/>
  <c r="AI6" i="19"/>
  <c r="W6" i="19"/>
  <c r="Q6" i="19"/>
  <c r="Q46" i="19"/>
  <c r="W36" i="19"/>
  <c r="AC16" i="19"/>
  <c r="Q36" i="19"/>
  <c r="K36" i="19"/>
  <c r="W46" i="19"/>
  <c r="K46" i="19"/>
  <c r="AI36" i="19"/>
  <c r="AI16" i="19"/>
  <c r="AI46" i="19"/>
  <c r="W16" i="19"/>
  <c r="W26" i="19"/>
  <c r="Q16" i="19"/>
  <c r="AC46" i="19"/>
  <c r="K6" i="19"/>
  <c r="AC42" i="19"/>
  <c r="Q12" i="19"/>
  <c r="W12" i="19"/>
  <c r="K52" i="19"/>
  <c r="AC32" i="19"/>
  <c r="AI32" i="19"/>
  <c r="K22" i="19"/>
  <c r="Q32" i="19"/>
  <c r="Q22" i="19"/>
  <c r="AC22" i="19"/>
  <c r="W52" i="19"/>
  <c r="K42" i="19"/>
  <c r="W42" i="19"/>
  <c r="Q52" i="19"/>
  <c r="AI12" i="19"/>
  <c r="K12" i="19"/>
  <c r="AI42" i="19"/>
  <c r="K32" i="19"/>
  <c r="Q42" i="19"/>
  <c r="AC12" i="19"/>
  <c r="W32" i="19"/>
  <c r="AC52" i="19"/>
  <c r="AI52" i="19"/>
  <c r="AI22" i="19"/>
  <c r="W22" i="19"/>
  <c r="AD36" i="19" l="1"/>
  <c r="O20" i="19"/>
  <c r="AM50" i="19"/>
  <c r="U20" i="19"/>
  <c r="AM30" i="19"/>
  <c r="AA10" i="19"/>
  <c r="AG30" i="19"/>
  <c r="O40" i="19"/>
  <c r="AA50" i="19"/>
  <c r="O30" i="19"/>
  <c r="U30" i="19"/>
  <c r="AG10" i="19"/>
  <c r="U50" i="19"/>
  <c r="AG40" i="19"/>
  <c r="O50" i="19"/>
  <c r="O10" i="19"/>
  <c r="AG50" i="19"/>
  <c r="AD42" i="1"/>
  <c r="AA40" i="19"/>
  <c r="AA20" i="19"/>
  <c r="AG20" i="19"/>
  <c r="AM10" i="19"/>
  <c r="AM20" i="19"/>
  <c r="U10" i="19"/>
  <c r="AA30" i="19"/>
  <c r="U40" i="19"/>
  <c r="AM40" i="19"/>
  <c r="R46" i="19"/>
  <c r="K35" i="19"/>
  <c r="AI25" i="19"/>
  <c r="Q15" i="19"/>
  <c r="K55" i="19"/>
  <c r="K45" i="19"/>
  <c r="AC55" i="19"/>
  <c r="W55" i="19"/>
  <c r="AC25" i="19"/>
  <c r="Q55" i="19"/>
  <c r="AC35" i="19"/>
  <c r="AI15" i="19"/>
  <c r="W25" i="19"/>
  <c r="Q35" i="19"/>
  <c r="AC45" i="19"/>
  <c r="K25" i="19"/>
  <c r="Q25" i="19"/>
  <c r="K15" i="19"/>
  <c r="W35" i="19"/>
  <c r="AI55" i="19"/>
  <c r="Q45" i="19"/>
  <c r="AI45" i="19"/>
  <c r="AC15" i="19"/>
  <c r="W45" i="19"/>
  <c r="W15" i="19"/>
  <c r="AI35" i="19"/>
  <c r="AB64" i="1"/>
  <c r="AC65" i="1"/>
  <c r="X26" i="19"/>
  <c r="L16" i="19"/>
  <c r="AD63" i="1"/>
  <c r="R14" i="19"/>
  <c r="AD54" i="19"/>
  <c r="R24" i="19"/>
  <c r="AD34" i="19"/>
  <c r="R54" i="19"/>
  <c r="R34" i="19"/>
  <c r="L34" i="19"/>
  <c r="AJ54" i="19"/>
  <c r="AJ34" i="19"/>
  <c r="L24" i="19"/>
  <c r="X24" i="19"/>
  <c r="R44" i="19"/>
  <c r="AJ24" i="19"/>
  <c r="X44" i="19"/>
  <c r="AD24" i="19"/>
  <c r="X14" i="19"/>
  <c r="AJ44" i="19"/>
  <c r="X34" i="19"/>
  <c r="L54" i="19"/>
  <c r="L14" i="19"/>
  <c r="AJ14" i="19"/>
  <c r="AD14" i="19"/>
  <c r="AD44" i="19"/>
  <c r="L44" i="19"/>
  <c r="X54" i="19"/>
  <c r="AB58" i="1"/>
  <c r="AC59" i="1"/>
  <c r="AD57" i="1"/>
  <c r="X33" i="19"/>
  <c r="AJ43" i="19"/>
  <c r="R13" i="19"/>
  <c r="X23" i="19"/>
  <c r="X43" i="19"/>
  <c r="L33" i="19"/>
  <c r="AD13" i="19"/>
  <c r="AD23" i="19"/>
  <c r="L23" i="19"/>
  <c r="R53" i="19"/>
  <c r="AD33" i="19"/>
  <c r="L13" i="19"/>
  <c r="L53" i="19"/>
  <c r="AD53" i="19"/>
  <c r="R33" i="19"/>
  <c r="AJ13" i="19"/>
  <c r="X53" i="19"/>
  <c r="X13" i="19"/>
  <c r="R23" i="19"/>
  <c r="L43" i="19"/>
  <c r="AD43" i="19"/>
  <c r="AJ23" i="19"/>
  <c r="AJ53" i="19"/>
  <c r="R43" i="19"/>
  <c r="AJ33" i="19"/>
  <c r="AB52" i="1"/>
  <c r="AC53" i="1"/>
  <c r="AD51" i="1"/>
  <c r="X32" i="19"/>
  <c r="L12" i="19"/>
  <c r="AD32" i="19"/>
  <c r="R32" i="19"/>
  <c r="X12" i="19"/>
  <c r="X52" i="19"/>
  <c r="L42" i="19"/>
  <c r="R42" i="19"/>
  <c r="AJ22" i="19"/>
  <c r="L22" i="19"/>
  <c r="R22" i="19"/>
  <c r="R12" i="19"/>
  <c r="AJ42" i="19"/>
  <c r="AD12" i="19"/>
  <c r="R52" i="19"/>
  <c r="L52" i="19"/>
  <c r="AD22" i="19"/>
  <c r="X22" i="19"/>
  <c r="AD42" i="19"/>
  <c r="X42" i="19"/>
  <c r="AJ12" i="19"/>
  <c r="AJ52" i="19"/>
  <c r="AJ32" i="19"/>
  <c r="L32" i="19"/>
  <c r="AD52" i="19"/>
  <c r="AB46" i="1"/>
  <c r="AC47" i="1"/>
  <c r="AD39" i="1"/>
  <c r="R50" i="19"/>
  <c r="X50" i="19"/>
  <c r="AD20" i="19"/>
  <c r="AJ30" i="19"/>
  <c r="X10" i="19"/>
  <c r="L50" i="19"/>
  <c r="X40" i="19"/>
  <c r="L30" i="19"/>
  <c r="AJ50" i="19"/>
  <c r="X20" i="19"/>
  <c r="L10" i="19"/>
  <c r="R40" i="19"/>
  <c r="AJ40" i="19"/>
  <c r="AD30" i="19"/>
  <c r="AJ10" i="19"/>
  <c r="X30" i="19"/>
  <c r="L20" i="19"/>
  <c r="AJ20" i="19"/>
  <c r="AD40" i="19"/>
  <c r="AD10" i="19"/>
  <c r="AD50" i="19"/>
  <c r="R30" i="19"/>
  <c r="R10" i="19"/>
  <c r="R20" i="19"/>
  <c r="L40" i="19"/>
  <c r="AB40" i="1"/>
  <c r="AC41" i="1"/>
  <c r="AB41" i="1" s="1"/>
  <c r="AB34" i="1"/>
  <c r="AD34" i="1" s="1"/>
  <c r="AC35" i="1"/>
  <c r="AD16" i="19"/>
  <c r="AJ26" i="19"/>
  <c r="L36" i="19"/>
  <c r="AB28" i="1"/>
  <c r="AD28" i="1" s="1"/>
  <c r="AC29" i="1"/>
  <c r="AB16" i="1"/>
  <c r="S16" i="19" s="1"/>
  <c r="AC17" i="1"/>
  <c r="AJ46" i="19"/>
  <c r="L46" i="19"/>
  <c r="AJ16" i="19"/>
  <c r="X46" i="19"/>
  <c r="R6" i="19"/>
  <c r="AJ6" i="19"/>
  <c r="X6" i="19"/>
  <c r="AD26" i="19"/>
  <c r="AD6" i="19"/>
  <c r="X36" i="19"/>
  <c r="R26" i="19"/>
  <c r="R36" i="19"/>
  <c r="L26" i="19"/>
  <c r="L6" i="19"/>
  <c r="X16" i="19"/>
  <c r="R16" i="19"/>
  <c r="AJ36" i="19"/>
  <c r="AD46" i="19"/>
  <c r="L48" i="19"/>
  <c r="R8" i="19"/>
  <c r="L8" i="19"/>
  <c r="X28" i="19"/>
  <c r="X18" i="19"/>
  <c r="AJ18" i="19"/>
  <c r="AD48" i="19"/>
  <c r="X38" i="19"/>
  <c r="AD38" i="19"/>
  <c r="AD8" i="19"/>
  <c r="L18" i="19"/>
  <c r="AD28" i="19"/>
  <c r="L28" i="19"/>
  <c r="AJ48" i="19"/>
  <c r="R48" i="19"/>
  <c r="R38" i="19"/>
  <c r="L38" i="19"/>
  <c r="X48" i="19"/>
  <c r="AJ38" i="19"/>
  <c r="X8" i="19"/>
  <c r="AJ8" i="19"/>
  <c r="R28" i="19"/>
  <c r="R18" i="19"/>
  <c r="AD18" i="19"/>
  <c r="AJ28" i="19"/>
  <c r="AB22" i="1"/>
  <c r="AD22" i="1" s="1"/>
  <c r="AC23" i="1"/>
  <c r="AJ39" i="19"/>
  <c r="AD29" i="19"/>
  <c r="X29" i="19"/>
  <c r="L19" i="19"/>
  <c r="R9" i="19"/>
  <c r="AJ9" i="19"/>
  <c r="L49" i="19"/>
  <c r="X9" i="19"/>
  <c r="R49" i="19"/>
  <c r="X39" i="19"/>
  <c r="AD39" i="19"/>
  <c r="L39" i="19"/>
  <c r="AJ29" i="19"/>
  <c r="AD9" i="19"/>
  <c r="L29" i="19"/>
  <c r="AJ19" i="19"/>
  <c r="R19" i="19"/>
  <c r="X49" i="19"/>
  <c r="AD49" i="19"/>
  <c r="AD19" i="19"/>
  <c r="L9" i="19"/>
  <c r="R29" i="19"/>
  <c r="X19" i="19"/>
  <c r="R39" i="19"/>
  <c r="AJ49" i="19"/>
  <c r="Y26" i="19" l="1"/>
  <c r="AB65" i="1"/>
  <c r="AD65" i="1" s="1"/>
  <c r="AC66" i="1"/>
  <c r="AB66" i="1" s="1"/>
  <c r="AB59" i="1"/>
  <c r="AF33" i="19" s="1"/>
  <c r="AC60" i="1"/>
  <c r="AB60" i="1" s="1"/>
  <c r="AB53" i="1"/>
  <c r="AL52" i="19" s="1"/>
  <c r="AC54" i="1"/>
  <c r="AB54" i="1" s="1"/>
  <c r="AB47" i="1"/>
  <c r="AD47" i="1" s="1"/>
  <c r="AC48" i="1"/>
  <c r="AB48" i="1" s="1"/>
  <c r="AB35" i="1"/>
  <c r="AD35" i="1" s="1"/>
  <c r="AC36" i="1"/>
  <c r="AB36" i="1" s="1"/>
  <c r="AD36" i="1" s="1"/>
  <c r="AB29" i="1"/>
  <c r="AD29" i="1" s="1"/>
  <c r="AC30" i="1"/>
  <c r="AB30" i="1" s="1"/>
  <c r="AD30" i="1" s="1"/>
  <c r="AB17" i="1"/>
  <c r="AD17" i="1" s="1"/>
  <c r="AC18" i="1"/>
  <c r="AB18" i="1" s="1"/>
  <c r="AD18" i="1" s="1"/>
  <c r="AK6" i="19"/>
  <c r="Y16" i="19"/>
  <c r="M36" i="19"/>
  <c r="AK26" i="19"/>
  <c r="M6" i="19"/>
  <c r="R25" i="19"/>
  <c r="R45" i="19"/>
  <c r="X15" i="19"/>
  <c r="AJ45" i="19"/>
  <c r="R55" i="19"/>
  <c r="L55" i="19"/>
  <c r="X55" i="19"/>
  <c r="AD15" i="19"/>
  <c r="X45" i="19"/>
  <c r="AJ15" i="19"/>
  <c r="L35" i="19"/>
  <c r="L45" i="19"/>
  <c r="AJ25" i="19"/>
  <c r="AD45" i="19"/>
  <c r="AD55" i="19"/>
  <c r="L25" i="19"/>
  <c r="R15" i="19"/>
  <c r="AD25" i="19"/>
  <c r="AJ35" i="19"/>
  <c r="X35" i="19"/>
  <c r="X25" i="19"/>
  <c r="AD35" i="19"/>
  <c r="AJ55" i="19"/>
  <c r="L15" i="19"/>
  <c r="R35" i="19"/>
  <c r="T14" i="19"/>
  <c r="N14" i="19"/>
  <c r="N54" i="19"/>
  <c r="T34" i="19"/>
  <c r="AL34" i="19"/>
  <c r="Z34" i="19"/>
  <c r="Y46" i="19"/>
  <c r="AE6" i="19"/>
  <c r="AK16" i="19"/>
  <c r="M26" i="19"/>
  <c r="S36" i="19"/>
  <c r="AD64" i="1"/>
  <c r="AK24" i="19"/>
  <c r="Y24" i="19"/>
  <c r="Y34" i="19"/>
  <c r="AE44" i="19"/>
  <c r="M34" i="19"/>
  <c r="AK54" i="19"/>
  <c r="AE54" i="19"/>
  <c r="M54" i="19"/>
  <c r="S24" i="19"/>
  <c r="Y44" i="19"/>
  <c r="AE34" i="19"/>
  <c r="S54" i="19"/>
  <c r="AE14" i="19"/>
  <c r="M14" i="19"/>
  <c r="S44" i="19"/>
  <c r="M44" i="19"/>
  <c r="S34" i="19"/>
  <c r="AK44" i="19"/>
  <c r="M24" i="19"/>
  <c r="AE24" i="19"/>
  <c r="AK34" i="19"/>
  <c r="S14" i="19"/>
  <c r="Y14" i="19"/>
  <c r="AK14" i="19"/>
  <c r="Y54" i="19"/>
  <c r="AD58" i="1"/>
  <c r="M33" i="19"/>
  <c r="AK43" i="19"/>
  <c r="AK13" i="19"/>
  <c r="Y23" i="19"/>
  <c r="Y43" i="19"/>
  <c r="S13" i="19"/>
  <c r="M23" i="19"/>
  <c r="AE43" i="19"/>
  <c r="AE23" i="19"/>
  <c r="Y13" i="19"/>
  <c r="Y33" i="19"/>
  <c r="M53" i="19"/>
  <c r="S43" i="19"/>
  <c r="AK53" i="19"/>
  <c r="M13" i="19"/>
  <c r="S23" i="19"/>
  <c r="AE53" i="19"/>
  <c r="AK33" i="19"/>
  <c r="AK23" i="19"/>
  <c r="AE13" i="19"/>
  <c r="Y53" i="19"/>
  <c r="S53" i="19"/>
  <c r="AE33" i="19"/>
  <c r="M43" i="19"/>
  <c r="S33" i="19"/>
  <c r="AD52" i="1"/>
  <c r="M22" i="19"/>
  <c r="AK22" i="19"/>
  <c r="M52" i="19"/>
  <c r="M42" i="19"/>
  <c r="AK52" i="19"/>
  <c r="AE32" i="19"/>
  <c r="AE22" i="19"/>
  <c r="Y42" i="19"/>
  <c r="AE42" i="19"/>
  <c r="AE52" i="19"/>
  <c r="Y12" i="19"/>
  <c r="M32" i="19"/>
  <c r="S12" i="19"/>
  <c r="Y32" i="19"/>
  <c r="Y52" i="19"/>
  <c r="AK12" i="19"/>
  <c r="S52" i="19"/>
  <c r="M12" i="19"/>
  <c r="AK32" i="19"/>
  <c r="S32" i="19"/>
  <c r="AE12" i="19"/>
  <c r="AK42" i="19"/>
  <c r="Y22" i="19"/>
  <c r="S22" i="19"/>
  <c r="S42" i="19"/>
  <c r="AD46" i="1"/>
  <c r="M21" i="19"/>
  <c r="AE11" i="19"/>
  <c r="AK31" i="19"/>
  <c r="M41" i="19"/>
  <c r="S51" i="19"/>
  <c r="Y21" i="19"/>
  <c r="AK21" i="19"/>
  <c r="AE21" i="19"/>
  <c r="S41" i="19"/>
  <c r="Y11" i="19"/>
  <c r="S21" i="19"/>
  <c r="AK41" i="19"/>
  <c r="AE41" i="19"/>
  <c r="M31" i="19"/>
  <c r="AK11" i="19"/>
  <c r="Y51" i="19"/>
  <c r="M11" i="19"/>
  <c r="AK51" i="19"/>
  <c r="AE31" i="19"/>
  <c r="AE51" i="19"/>
  <c r="Y31" i="19"/>
  <c r="Y41" i="19"/>
  <c r="S11" i="19"/>
  <c r="S31" i="19"/>
  <c r="M51" i="19"/>
  <c r="AD40" i="1"/>
  <c r="S40" i="19"/>
  <c r="M40" i="19"/>
  <c r="AK50" i="19"/>
  <c r="M30" i="19"/>
  <c r="AK20" i="19"/>
  <c r="S20" i="19"/>
  <c r="AK10" i="19"/>
  <c r="M50" i="19"/>
  <c r="AK30" i="19"/>
  <c r="AK40" i="19"/>
  <c r="AE30" i="19"/>
  <c r="S30" i="19"/>
  <c r="Y20" i="19"/>
  <c r="Y50" i="19"/>
  <c r="Y10" i="19"/>
  <c r="M10" i="19"/>
  <c r="AE10" i="19"/>
  <c r="AE50" i="19"/>
  <c r="AE40" i="19"/>
  <c r="AE20" i="19"/>
  <c r="Y30" i="19"/>
  <c r="S50" i="19"/>
  <c r="Y40" i="19"/>
  <c r="S10" i="19"/>
  <c r="M20" i="19"/>
  <c r="AD41" i="1"/>
  <c r="T30" i="19"/>
  <c r="Z10" i="19"/>
  <c r="AL30" i="19"/>
  <c r="N30" i="19"/>
  <c r="AF30" i="19"/>
  <c r="AL40" i="19"/>
  <c r="Z50" i="19"/>
  <c r="T20" i="19"/>
  <c r="AL20" i="19"/>
  <c r="Z40" i="19"/>
  <c r="AF40" i="19"/>
  <c r="AF20" i="19"/>
  <c r="AL10" i="19"/>
  <c r="AF10" i="19"/>
  <c r="N10" i="19"/>
  <c r="Z30" i="19"/>
  <c r="T50" i="19"/>
  <c r="T40" i="19"/>
  <c r="N20" i="19"/>
  <c r="Z20" i="19"/>
  <c r="N40" i="19"/>
  <c r="T10" i="19"/>
  <c r="AF50" i="19"/>
  <c r="N50" i="19"/>
  <c r="AL50" i="19"/>
  <c r="Y6" i="19"/>
  <c r="AK36" i="19"/>
  <c r="AK46" i="19"/>
  <c r="S46" i="19"/>
  <c r="AE16" i="19"/>
  <c r="AE36" i="19"/>
  <c r="M46" i="19"/>
  <c r="AE46" i="19"/>
  <c r="S6" i="19"/>
  <c r="AD16" i="1"/>
  <c r="M16" i="19"/>
  <c r="AE26" i="19"/>
  <c r="Y36" i="19"/>
  <c r="S26" i="19"/>
  <c r="M18" i="19"/>
  <c r="AK38" i="19"/>
  <c r="M8" i="19"/>
  <c r="S18" i="19"/>
  <c r="M48" i="19"/>
  <c r="Y28" i="19"/>
  <c r="S28" i="19"/>
  <c r="AK18" i="19"/>
  <c r="Y48" i="19"/>
  <c r="M28" i="19"/>
  <c r="AK48" i="19"/>
  <c r="AK8" i="19"/>
  <c r="AE27" i="19"/>
  <c r="AE28" i="19"/>
  <c r="S8" i="19"/>
  <c r="AE8" i="19"/>
  <c r="AE48" i="19"/>
  <c r="AE38" i="19"/>
  <c r="S38" i="19"/>
  <c r="AE18" i="19"/>
  <c r="Y8" i="19"/>
  <c r="M38" i="19"/>
  <c r="S48" i="19"/>
  <c r="Y27" i="19"/>
  <c r="AK28" i="19"/>
  <c r="Y38" i="19"/>
  <c r="Y18" i="19"/>
  <c r="AB23" i="1"/>
  <c r="AD23" i="1" s="1"/>
  <c r="AC24" i="1"/>
  <c r="AB24" i="1" s="1"/>
  <c r="AD24" i="1" s="1"/>
  <c r="M7" i="19"/>
  <c r="AE17" i="19"/>
  <c r="AE7" i="19"/>
  <c r="S7" i="19"/>
  <c r="M17" i="19"/>
  <c r="M47" i="19"/>
  <c r="S27" i="19"/>
  <c r="M27" i="19"/>
  <c r="Y7" i="19"/>
  <c r="AK37" i="19"/>
  <c r="AE37" i="19"/>
  <c r="AK47" i="19"/>
  <c r="Y47" i="19"/>
  <c r="S17" i="19"/>
  <c r="Y37" i="19"/>
  <c r="AK27" i="19"/>
  <c r="AK7" i="19"/>
  <c r="S47" i="19"/>
  <c r="M37" i="19"/>
  <c r="S37" i="19"/>
  <c r="AK17" i="19"/>
  <c r="AE47" i="19"/>
  <c r="Y17" i="19"/>
  <c r="AE9" i="19"/>
  <c r="M9" i="19"/>
  <c r="AK29" i="19"/>
  <c r="AK9" i="19"/>
  <c r="M39" i="19"/>
  <c r="S49" i="19"/>
  <c r="Y49" i="19"/>
  <c r="M49" i="19"/>
  <c r="S19" i="19"/>
  <c r="AE39" i="19"/>
  <c r="Y39" i="19"/>
  <c r="AK39" i="19"/>
  <c r="AE49" i="19"/>
  <c r="AK49" i="19"/>
  <c r="Y19" i="19"/>
  <c r="S29" i="19"/>
  <c r="AE19" i="19"/>
  <c r="M29" i="19"/>
  <c r="AK19" i="19"/>
  <c r="Y9" i="19"/>
  <c r="Y29" i="19"/>
  <c r="AE29" i="19"/>
  <c r="M19" i="19"/>
  <c r="S39" i="19"/>
  <c r="S9" i="19"/>
  <c r="AF12" i="19" l="1"/>
  <c r="T54" i="19"/>
  <c r="Z24" i="19"/>
  <c r="Z44" i="19"/>
  <c r="AF54" i="19"/>
  <c r="Z14" i="19"/>
  <c r="T44" i="19"/>
  <c r="Z54" i="19"/>
  <c r="AL24" i="19"/>
  <c r="AL54" i="19"/>
  <c r="AF44" i="19"/>
  <c r="Z42" i="19"/>
  <c r="N44" i="19"/>
  <c r="T24" i="19"/>
  <c r="AL44" i="19"/>
  <c r="N24" i="19"/>
  <c r="N34" i="19"/>
  <c r="AF24" i="19"/>
  <c r="AF34" i="19"/>
  <c r="AF14" i="19"/>
  <c r="T53" i="19"/>
  <c r="AF26" i="19"/>
  <c r="O16" i="19"/>
  <c r="T46" i="19"/>
  <c r="N13" i="19"/>
  <c r="AD53" i="1"/>
  <c r="N36" i="19"/>
  <c r="AG16" i="19"/>
  <c r="N33" i="19"/>
  <c r="AL14" i="19"/>
  <c r="T23" i="19"/>
  <c r="AL43" i="19"/>
  <c r="AL53" i="19"/>
  <c r="Z13" i="19"/>
  <c r="N43" i="19"/>
  <c r="AL23" i="19"/>
  <c r="AF53" i="19"/>
  <c r="N53" i="19"/>
  <c r="Z23" i="19"/>
  <c r="AL33" i="19"/>
  <c r="N23" i="19"/>
  <c r="Z33" i="19"/>
  <c r="Z43" i="19"/>
  <c r="T43" i="19"/>
  <c r="AL13" i="19"/>
  <c r="T13" i="19"/>
  <c r="T33" i="19"/>
  <c r="Z53" i="19"/>
  <c r="AF43" i="19"/>
  <c r="AF23" i="19"/>
  <c r="AF13" i="19"/>
  <c r="AD59" i="1"/>
  <c r="Z31" i="19"/>
  <c r="N42" i="19"/>
  <c r="AL12" i="19"/>
  <c r="Z22" i="19"/>
  <c r="Z32" i="19"/>
  <c r="N12" i="19"/>
  <c r="T12" i="19"/>
  <c r="AF42" i="19"/>
  <c r="N22" i="19"/>
  <c r="T52" i="19"/>
  <c r="N32" i="19"/>
  <c r="U6" i="19"/>
  <c r="U26" i="19"/>
  <c r="T41" i="19"/>
  <c r="T31" i="19"/>
  <c r="AL41" i="19"/>
  <c r="AL21" i="19"/>
  <c r="Z41" i="19"/>
  <c r="AF11" i="19"/>
  <c r="N51" i="19"/>
  <c r="AF21" i="19"/>
  <c r="Z11" i="19"/>
  <c r="T51" i="19"/>
  <c r="AF41" i="19"/>
  <c r="AF51" i="19"/>
  <c r="AM16" i="19"/>
  <c r="AG46" i="19"/>
  <c r="AM36" i="19"/>
  <c r="T45" i="19"/>
  <c r="AD66" i="1"/>
  <c r="AG14" i="19"/>
  <c r="AM34" i="19"/>
  <c r="AG24" i="19"/>
  <c r="U54" i="19"/>
  <c r="O44" i="19"/>
  <c r="AG44" i="19"/>
  <c r="O24" i="19"/>
  <c r="AA24" i="19"/>
  <c r="AA34" i="19"/>
  <c r="AG34" i="19"/>
  <c r="U34" i="19"/>
  <c r="AM54" i="19"/>
  <c r="AA44" i="19"/>
  <c r="O14" i="19"/>
  <c r="AA14" i="19"/>
  <c r="AA54" i="19"/>
  <c r="O54" i="19"/>
  <c r="U14" i="19"/>
  <c r="U44" i="19"/>
  <c r="AM44" i="19"/>
  <c r="AM14" i="19"/>
  <c r="AG54" i="19"/>
  <c r="AM24" i="19"/>
  <c r="O34" i="19"/>
  <c r="U24" i="19"/>
  <c r="AD60" i="1"/>
  <c r="AM13" i="19"/>
  <c r="U23" i="19"/>
  <c r="AA33" i="19"/>
  <c r="AA23" i="19"/>
  <c r="AG53" i="19"/>
  <c r="AG13" i="19"/>
  <c r="U53" i="19"/>
  <c r="AA13" i="19"/>
  <c r="O13" i="19"/>
  <c r="AG33" i="19"/>
  <c r="U13" i="19"/>
  <c r="AG23" i="19"/>
  <c r="AM53" i="19"/>
  <c r="O33" i="19"/>
  <c r="O53" i="19"/>
  <c r="AA43" i="19"/>
  <c r="AG43" i="19"/>
  <c r="AM43" i="19"/>
  <c r="O23" i="19"/>
  <c r="AM23" i="19"/>
  <c r="U33" i="19"/>
  <c r="AM33" i="19"/>
  <c r="O43" i="19"/>
  <c r="AA53" i="19"/>
  <c r="U43" i="19"/>
  <c r="U36" i="19"/>
  <c r="AA6" i="19"/>
  <c r="AM6" i="19"/>
  <c r="O6" i="19"/>
  <c r="U16" i="19"/>
  <c r="AM26" i="19"/>
  <c r="N16" i="19"/>
  <c r="N26" i="19"/>
  <c r="N46" i="19"/>
  <c r="Z46" i="19"/>
  <c r="T11" i="19"/>
  <c r="Z51" i="19"/>
  <c r="AF31" i="19"/>
  <c r="N11" i="19"/>
  <c r="AL51" i="19"/>
  <c r="N21" i="19"/>
  <c r="N41" i="19"/>
  <c r="AL11" i="19"/>
  <c r="T21" i="19"/>
  <c r="N31" i="19"/>
  <c r="Z21" i="19"/>
  <c r="AL31" i="19"/>
  <c r="AL32" i="19"/>
  <c r="AF22" i="19"/>
  <c r="AL22" i="19"/>
  <c r="AF32" i="19"/>
  <c r="AF52" i="19"/>
  <c r="N52" i="19"/>
  <c r="Z52" i="19"/>
  <c r="T42" i="19"/>
  <c r="T22" i="19"/>
  <c r="Z12" i="19"/>
  <c r="T32" i="19"/>
  <c r="AL42" i="19"/>
  <c r="AD54" i="1"/>
  <c r="O42" i="19"/>
  <c r="AA42" i="19"/>
  <c r="AM12" i="19"/>
  <c r="AM22" i="19"/>
  <c r="O32" i="19"/>
  <c r="U12" i="19"/>
  <c r="AG12" i="19"/>
  <c r="AM32" i="19"/>
  <c r="O22" i="19"/>
  <c r="U22" i="19"/>
  <c r="AA12" i="19"/>
  <c r="AG32" i="19"/>
  <c r="AM52" i="19"/>
  <c r="O52" i="19"/>
  <c r="AA22" i="19"/>
  <c r="AM42" i="19"/>
  <c r="AA52" i="19"/>
  <c r="U32" i="19"/>
  <c r="AG22" i="19"/>
  <c r="AA32" i="19"/>
  <c r="U42" i="19"/>
  <c r="O12" i="19"/>
  <c r="AG42" i="19"/>
  <c r="AG52" i="19"/>
  <c r="U52" i="19"/>
  <c r="AD48" i="1"/>
  <c r="AA31" i="19"/>
  <c r="AA21" i="19"/>
  <c r="O41" i="19"/>
  <c r="AG51" i="19"/>
  <c r="U51" i="19"/>
  <c r="AG31" i="19"/>
  <c r="AM11" i="19"/>
  <c r="AA11" i="19"/>
  <c r="U21" i="19"/>
  <c r="O21" i="19"/>
  <c r="AG11" i="19"/>
  <c r="O51" i="19"/>
  <c r="AM41" i="19"/>
  <c r="AM51" i="19"/>
  <c r="AM31" i="19"/>
  <c r="AA51" i="19"/>
  <c r="U11" i="19"/>
  <c r="AA41" i="19"/>
  <c r="U31" i="19"/>
  <c r="U41" i="19"/>
  <c r="O11" i="19"/>
  <c r="AG21" i="19"/>
  <c r="AG41" i="19"/>
  <c r="O31" i="19"/>
  <c r="AM21" i="19"/>
  <c r="U46" i="19"/>
  <c r="AG36" i="19"/>
  <c r="O36" i="19"/>
  <c r="AA26" i="19"/>
  <c r="O26" i="19"/>
  <c r="AA16" i="19"/>
  <c r="AA46" i="19"/>
  <c r="AM46" i="19"/>
  <c r="AG6" i="19"/>
  <c r="O46" i="19"/>
  <c r="AA36" i="19"/>
  <c r="AG26" i="19"/>
  <c r="Z16" i="19"/>
  <c r="AF16" i="19"/>
  <c r="AF46" i="19"/>
  <c r="Z26" i="19"/>
  <c r="T6" i="19"/>
  <c r="AL6" i="19"/>
  <c r="AL46" i="19"/>
  <c r="Z6" i="19"/>
  <c r="AF6" i="19"/>
  <c r="T36" i="19"/>
  <c r="T26" i="19"/>
  <c r="AL36" i="19"/>
  <c r="AL16" i="19"/>
  <c r="T16" i="19"/>
  <c r="Z36" i="19"/>
  <c r="AL26" i="19"/>
  <c r="N6" i="19"/>
  <c r="AF36" i="19"/>
  <c r="AE15" i="19"/>
  <c r="AK45" i="19"/>
  <c r="M25" i="19"/>
  <c r="AE35" i="19"/>
  <c r="M35" i="19"/>
  <c r="S45" i="19"/>
  <c r="Y55" i="19"/>
  <c r="S35" i="19"/>
  <c r="S15" i="19"/>
  <c r="M15" i="19"/>
  <c r="AK55" i="19"/>
  <c r="Y25" i="19"/>
  <c r="Y15" i="19"/>
  <c r="Y35" i="19"/>
  <c r="Y45" i="19"/>
  <c r="AE55" i="19"/>
  <c r="S55" i="19"/>
  <c r="AK25" i="19"/>
  <c r="M45" i="19"/>
  <c r="M55" i="19"/>
  <c r="S25" i="19"/>
  <c r="AK15" i="19"/>
  <c r="AK35" i="19"/>
  <c r="AE45" i="19"/>
  <c r="AE25" i="19"/>
  <c r="AF48" i="19"/>
  <c r="AL18" i="19"/>
  <c r="T48" i="19"/>
  <c r="AL8" i="19"/>
  <c r="T28" i="19"/>
  <c r="N28" i="19"/>
  <c r="AL28" i="19"/>
  <c r="AL27" i="19"/>
  <c r="N8" i="19"/>
  <c r="AF38" i="19"/>
  <c r="AF18" i="19"/>
  <c r="AF27" i="19"/>
  <c r="AL38" i="19"/>
  <c r="Z38" i="19"/>
  <c r="Z48" i="19"/>
  <c r="AF37" i="19"/>
  <c r="N47" i="19"/>
  <c r="Z8" i="19"/>
  <c r="AF47" i="19"/>
  <c r="T18" i="19"/>
  <c r="N18" i="19"/>
  <c r="Z28" i="19"/>
  <c r="N48" i="19"/>
  <c r="Z18" i="19"/>
  <c r="AF28" i="19"/>
  <c r="T38" i="19"/>
  <c r="T8" i="19"/>
  <c r="AL48" i="19"/>
  <c r="AF8" i="19"/>
  <c r="N38" i="19"/>
  <c r="AG8" i="19"/>
  <c r="AF7" i="19"/>
  <c r="AL37" i="19"/>
  <c r="U18" i="19"/>
  <c r="O48" i="19"/>
  <c r="AL47" i="19"/>
  <c r="O28" i="19"/>
  <c r="Z37" i="19"/>
  <c r="AL17" i="19"/>
  <c r="T7" i="19"/>
  <c r="U48" i="19"/>
  <c r="AG28" i="19"/>
  <c r="AG48" i="19"/>
  <c r="AM28" i="19"/>
  <c r="O8" i="19"/>
  <c r="AG18" i="19"/>
  <c r="AA28" i="19"/>
  <c r="U38" i="19"/>
  <c r="AG38" i="19"/>
  <c r="AM8" i="19"/>
  <c r="T27" i="19"/>
  <c r="N37" i="19"/>
  <c r="N7" i="19"/>
  <c r="U8" i="19"/>
  <c r="O18" i="19"/>
  <c r="AM18" i="19"/>
  <c r="O38" i="19"/>
  <c r="AA48" i="19"/>
  <c r="AM48" i="19"/>
  <c r="AM38" i="19"/>
  <c r="AA38" i="19"/>
  <c r="AA8" i="19"/>
  <c r="U28" i="19"/>
  <c r="AA18" i="19"/>
  <c r="T47" i="19"/>
  <c r="Z47" i="19"/>
  <c r="Z17" i="19"/>
  <c r="N27" i="19"/>
  <c r="AF17" i="19"/>
  <c r="T17" i="19"/>
  <c r="Z7" i="19"/>
  <c r="T37" i="19"/>
  <c r="AL7" i="19"/>
  <c r="Z27" i="19"/>
  <c r="N17" i="19"/>
  <c r="AM7" i="19"/>
  <c r="O37" i="19"/>
  <c r="U7" i="19"/>
  <c r="AG7" i="19"/>
  <c r="AA17" i="19"/>
  <c r="AA7" i="19"/>
  <c r="U47" i="19"/>
  <c r="AG47" i="19"/>
  <c r="AG27" i="19"/>
  <c r="U27" i="19"/>
  <c r="AA47" i="19"/>
  <c r="U17" i="19"/>
  <c r="O27" i="19"/>
  <c r="AM47" i="19"/>
  <c r="AM17" i="19"/>
  <c r="U37" i="19"/>
  <c r="AM37" i="19"/>
  <c r="AG37" i="19"/>
  <c r="O7" i="19"/>
  <c r="O17" i="19"/>
  <c r="AM27" i="19"/>
  <c r="AG17" i="19"/>
  <c r="AA27" i="19"/>
  <c r="O47" i="19"/>
  <c r="AA37" i="19"/>
  <c r="N9" i="19"/>
  <c r="N39" i="19"/>
  <c r="AL29" i="19"/>
  <c r="AL39" i="19"/>
  <c r="Z49" i="19"/>
  <c r="AF19" i="19"/>
  <c r="AF9" i="19"/>
  <c r="T39" i="19"/>
  <c r="Z9" i="19"/>
  <c r="AF49" i="19"/>
  <c r="AL9" i="19"/>
  <c r="T19" i="19"/>
  <c r="AL19" i="19"/>
  <c r="T9" i="19"/>
  <c r="Z39" i="19"/>
  <c r="AF39" i="19"/>
  <c r="N49" i="19"/>
  <c r="Z19" i="19"/>
  <c r="AL49" i="19"/>
  <c r="Z29" i="19"/>
  <c r="AF29" i="19"/>
  <c r="N19" i="19"/>
  <c r="T29" i="19"/>
  <c r="T49" i="19"/>
  <c r="N29" i="19"/>
  <c r="AA9" i="19"/>
  <c r="AA29" i="19"/>
  <c r="AA19" i="19"/>
  <c r="AM39" i="19"/>
  <c r="O49" i="19"/>
  <c r="AM19" i="19"/>
  <c r="O9" i="19"/>
  <c r="AG49" i="19"/>
  <c r="AM29" i="19"/>
  <c r="AM9" i="19"/>
  <c r="AA39" i="19"/>
  <c r="U9" i="19"/>
  <c r="O39" i="19"/>
  <c r="AM49" i="19"/>
  <c r="U29" i="19"/>
  <c r="AA49" i="19"/>
  <c r="AG29" i="19"/>
  <c r="AG19" i="19"/>
  <c r="AG39" i="19"/>
  <c r="U39" i="19"/>
  <c r="AG9" i="19"/>
  <c r="O19" i="19"/>
  <c r="U49" i="19"/>
  <c r="O29" i="19"/>
  <c r="U19" i="19"/>
  <c r="AF15" i="19" l="1"/>
  <c r="Z35" i="19"/>
  <c r="N25" i="19"/>
  <c r="N15" i="19"/>
  <c r="N45" i="19"/>
  <c r="AF35" i="19"/>
  <c r="AL35" i="19"/>
  <c r="AF45" i="19"/>
  <c r="T55" i="19"/>
  <c r="AF55" i="19"/>
  <c r="Z15" i="19"/>
  <c r="T25" i="19"/>
  <c r="AL15" i="19"/>
  <c r="T15" i="19"/>
  <c r="T35" i="19"/>
  <c r="Z25" i="19"/>
  <c r="N55" i="19"/>
  <c r="Z45" i="19"/>
  <c r="AL25" i="19"/>
  <c r="AL45" i="19"/>
  <c r="N35" i="19"/>
  <c r="Z55" i="19"/>
  <c r="AF25" i="19"/>
  <c r="AL55" i="19"/>
  <c r="O55" i="19"/>
  <c r="O25" i="19"/>
  <c r="AG35" i="19"/>
  <c r="AM25" i="19"/>
  <c r="AG15" i="19"/>
  <c r="U35" i="19"/>
  <c r="AA55" i="19"/>
  <c r="AA45" i="19"/>
  <c r="O45" i="19"/>
  <c r="AM15" i="19"/>
  <c r="AA15" i="19"/>
  <c r="U45" i="19"/>
  <c r="AA35" i="19"/>
  <c r="O15" i="19"/>
  <c r="U25" i="19"/>
  <c r="AG45" i="19"/>
  <c r="AM35" i="19"/>
  <c r="U15" i="19"/>
  <c r="AA25" i="19"/>
  <c r="AG55" i="19"/>
  <c r="AM45" i="19"/>
  <c r="U55" i="19"/>
  <c r="AG25" i="19"/>
  <c r="AM55" i="19"/>
  <c r="O35" i="19"/>
  <c r="B223" i="13"/>
  <c r="B222" i="13"/>
  <c r="L31" i="1" l="1"/>
  <c r="M31" i="1" s="1"/>
  <c r="L13" i="1"/>
  <c r="M13" i="1" s="1"/>
  <c r="L19" i="1"/>
  <c r="M19" i="1" s="1"/>
  <c r="L37" i="1"/>
  <c r="M37" i="1" s="1"/>
  <c r="L25" i="1"/>
  <c r="M25" i="1" s="1"/>
  <c r="L43" i="1"/>
  <c r="M43" i="1" s="1"/>
  <c r="L55" i="1"/>
  <c r="M55" i="1" s="1"/>
  <c r="L61" i="1"/>
  <c r="M61" i="1" s="1"/>
  <c r="L49" i="1"/>
  <c r="M49" i="1" s="1"/>
  <c r="N18" i="18" l="1"/>
  <c r="N61" i="1"/>
  <c r="AC61" i="1" s="1"/>
  <c r="AL26" i="18"/>
  <c r="AL34" i="18"/>
  <c r="T10" i="18"/>
  <c r="AF26" i="18"/>
  <c r="AF18" i="18"/>
  <c r="T42" i="18"/>
  <c r="Z34" i="18"/>
  <c r="O61" i="1"/>
  <c r="AF10" i="18"/>
  <c r="T26" i="18"/>
  <c r="Z18" i="18"/>
  <c r="Z42" i="18"/>
  <c r="Z10" i="18"/>
  <c r="N42" i="18"/>
  <c r="AL18" i="18"/>
  <c r="AF42" i="18"/>
  <c r="Z26" i="18"/>
  <c r="N26" i="18"/>
  <c r="N34" i="18"/>
  <c r="T34" i="18"/>
  <c r="AL42" i="18"/>
  <c r="N10" i="18"/>
  <c r="T18" i="18"/>
  <c r="AF34" i="18"/>
  <c r="AL10" i="18"/>
  <c r="R18" i="18"/>
  <c r="AD18" i="18"/>
  <c r="X26" i="18"/>
  <c r="AJ26" i="18"/>
  <c r="X34" i="18"/>
  <c r="X42" i="18"/>
  <c r="L10" i="18"/>
  <c r="O55" i="1"/>
  <c r="L34" i="18"/>
  <c r="AD42" i="18"/>
  <c r="L42" i="18"/>
  <c r="R26" i="18"/>
  <c r="AJ10" i="18"/>
  <c r="R10" i="18"/>
  <c r="N55" i="1"/>
  <c r="AC55" i="1" s="1"/>
  <c r="AJ42" i="18"/>
  <c r="X10" i="18"/>
  <c r="AJ18" i="18"/>
  <c r="X18" i="18"/>
  <c r="AD26" i="18"/>
  <c r="R42" i="18"/>
  <c r="L26" i="18"/>
  <c r="R34" i="18"/>
  <c r="AD34" i="18"/>
  <c r="AD10" i="18"/>
  <c r="L18" i="18"/>
  <c r="AJ34" i="18"/>
  <c r="Z16" i="18"/>
  <c r="N32" i="18"/>
  <c r="N40" i="18"/>
  <c r="Z8" i="18"/>
  <c r="T8" i="18"/>
  <c r="AF32" i="18"/>
  <c r="AL24" i="18"/>
  <c r="Z24" i="18"/>
  <c r="AF24" i="18"/>
  <c r="T32" i="18"/>
  <c r="AF40" i="18"/>
  <c r="O43" i="1"/>
  <c r="N24" i="18"/>
  <c r="AL16" i="18"/>
  <c r="N43" i="1"/>
  <c r="AC43" i="1" s="1"/>
  <c r="AL40" i="18"/>
  <c r="AL32" i="18"/>
  <c r="Z40" i="18"/>
  <c r="T24" i="18"/>
  <c r="Z32" i="18"/>
  <c r="T40" i="18"/>
  <c r="N8" i="18"/>
  <c r="AF16" i="18"/>
  <c r="AL8" i="18"/>
  <c r="T16" i="18"/>
  <c r="N16" i="18"/>
  <c r="AF8" i="18"/>
  <c r="V34" i="18"/>
  <c r="V26" i="18"/>
  <c r="J26" i="18"/>
  <c r="P42" i="18"/>
  <c r="P34" i="18"/>
  <c r="AH10" i="18"/>
  <c r="AB34" i="18"/>
  <c r="AH34" i="18"/>
  <c r="AH42" i="18"/>
  <c r="V10" i="18"/>
  <c r="J10" i="18"/>
  <c r="O49" i="1"/>
  <c r="V18" i="18"/>
  <c r="AB10" i="18"/>
  <c r="N49" i="1"/>
  <c r="AC49" i="1" s="1"/>
  <c r="AB49" i="1" s="1"/>
  <c r="P26" i="18"/>
  <c r="V42" i="18"/>
  <c r="AH18" i="18"/>
  <c r="AB18" i="18"/>
  <c r="P10" i="18"/>
  <c r="AH26" i="18"/>
  <c r="AB42" i="18"/>
  <c r="P18" i="18"/>
  <c r="J18" i="18"/>
  <c r="AB26" i="18"/>
  <c r="J42" i="18"/>
  <c r="J34" i="18"/>
  <c r="T22" i="18"/>
  <c r="T6" i="18"/>
  <c r="AF6" i="18"/>
  <c r="Z38" i="18"/>
  <c r="T30" i="18"/>
  <c r="N25" i="1"/>
  <c r="AC25" i="1" s="1"/>
  <c r="N22" i="18"/>
  <c r="AL14" i="18"/>
  <c r="AF30" i="18"/>
  <c r="Z30" i="18"/>
  <c r="AL22" i="18"/>
  <c r="N6" i="18"/>
  <c r="AL38" i="18"/>
  <c r="T38" i="18"/>
  <c r="Z6" i="18"/>
  <c r="Z22" i="18"/>
  <c r="AF38" i="18"/>
  <c r="N38" i="18"/>
  <c r="AF22" i="18"/>
  <c r="O25" i="1"/>
  <c r="AL6" i="18"/>
  <c r="T14" i="18"/>
  <c r="Z14" i="18"/>
  <c r="AF14" i="18"/>
  <c r="AL30" i="18"/>
  <c r="N30" i="18"/>
  <c r="N14" i="18"/>
  <c r="N37" i="1"/>
  <c r="AC37" i="1" s="1"/>
  <c r="AB37" i="1" s="1"/>
  <c r="X32" i="18"/>
  <c r="AJ40" i="18"/>
  <c r="AD40" i="18"/>
  <c r="AD8" i="18"/>
  <c r="AJ24" i="18"/>
  <c r="AD32" i="18"/>
  <c r="R24" i="18"/>
  <c r="L24" i="18"/>
  <c r="R8" i="18"/>
  <c r="X16" i="18"/>
  <c r="L8" i="18"/>
  <c r="X24" i="18"/>
  <c r="L40" i="18"/>
  <c r="L32" i="18"/>
  <c r="AD24" i="18"/>
  <c r="X40" i="18"/>
  <c r="R16" i="18"/>
  <c r="AJ32" i="18"/>
  <c r="AJ8" i="18"/>
  <c r="AD16" i="18"/>
  <c r="O37" i="1"/>
  <c r="R40" i="18"/>
  <c r="L16" i="18"/>
  <c r="R32" i="18"/>
  <c r="AJ16" i="18"/>
  <c r="X8" i="18"/>
  <c r="L22" i="18"/>
  <c r="L30" i="18"/>
  <c r="AD14" i="18"/>
  <c r="X30" i="18"/>
  <c r="R22" i="18"/>
  <c r="R14" i="18"/>
  <c r="AJ6" i="18"/>
  <c r="X38" i="18"/>
  <c r="AD6" i="18"/>
  <c r="N19" i="1"/>
  <c r="AC19" i="1" s="1"/>
  <c r="X14" i="18"/>
  <c r="X22" i="18"/>
  <c r="AD22" i="18"/>
  <c r="AJ38" i="18"/>
  <c r="R6" i="18"/>
  <c r="R38" i="18"/>
  <c r="L14" i="18"/>
  <c r="O19" i="1"/>
  <c r="L6" i="18"/>
  <c r="AJ30" i="18"/>
  <c r="AD38" i="18"/>
  <c r="AJ14" i="18"/>
  <c r="AJ22" i="18"/>
  <c r="L38" i="18"/>
  <c r="R30" i="18"/>
  <c r="AD30" i="18"/>
  <c r="X6" i="18"/>
  <c r="J6" i="18"/>
  <c r="O13" i="1"/>
  <c r="P38" i="18"/>
  <c r="AH14" i="18"/>
  <c r="AB22" i="18"/>
  <c r="P30" i="18"/>
  <c r="V6" i="18"/>
  <c r="AH22" i="18"/>
  <c r="V22" i="18"/>
  <c r="AH30" i="18"/>
  <c r="J22" i="18"/>
  <c r="AB30" i="18"/>
  <c r="N13" i="1"/>
  <c r="AC13" i="1" s="1"/>
  <c r="AB13" i="1" s="1"/>
  <c r="AB14" i="18"/>
  <c r="P6" i="18"/>
  <c r="AB6" i="18"/>
  <c r="J38" i="18"/>
  <c r="V30" i="18"/>
  <c r="J14" i="18"/>
  <c r="AB38" i="18"/>
  <c r="P22" i="18"/>
  <c r="V38" i="18"/>
  <c r="J30" i="18"/>
  <c r="V14" i="18"/>
  <c r="AH38" i="18"/>
  <c r="AH6" i="18"/>
  <c r="P14" i="18"/>
  <c r="AH24" i="18"/>
  <c r="V16" i="18"/>
  <c r="AB32" i="18"/>
  <c r="AH16" i="18"/>
  <c r="AB24" i="18"/>
  <c r="P8" i="18"/>
  <c r="J16" i="18"/>
  <c r="V32" i="18"/>
  <c r="AH32" i="18"/>
  <c r="J8" i="18"/>
  <c r="P40" i="18"/>
  <c r="N31" i="1"/>
  <c r="J32" i="18"/>
  <c r="V24" i="18"/>
  <c r="P16" i="18"/>
  <c r="J24" i="18"/>
  <c r="AH40" i="18"/>
  <c r="O31" i="1"/>
  <c r="V8" i="18"/>
  <c r="V40" i="18"/>
  <c r="AB40" i="18"/>
  <c r="AB16" i="18"/>
  <c r="P24" i="18"/>
  <c r="J40" i="18"/>
  <c r="P32" i="18"/>
  <c r="AB8" i="18"/>
  <c r="AH8" i="18"/>
  <c r="AD49" i="1" l="1"/>
  <c r="P12" i="19"/>
  <c r="AB42" i="19"/>
  <c r="V22" i="19"/>
  <c r="AB12" i="19"/>
  <c r="J12" i="19"/>
  <c r="AB32" i="19"/>
  <c r="P42" i="19"/>
  <c r="V32" i="19"/>
  <c r="AH52" i="19"/>
  <c r="J52" i="19"/>
  <c r="P52" i="19"/>
  <c r="V42" i="19"/>
  <c r="P22" i="19"/>
  <c r="V52" i="19"/>
  <c r="AH22" i="19"/>
  <c r="AH42" i="19"/>
  <c r="AH12" i="19"/>
  <c r="AB22" i="19"/>
  <c r="J42" i="19"/>
  <c r="J22" i="19"/>
  <c r="P32" i="19"/>
  <c r="AH32" i="19"/>
  <c r="J32" i="19"/>
  <c r="AB52" i="19"/>
  <c r="V12" i="19"/>
  <c r="AD37" i="1"/>
  <c r="V50" i="19"/>
  <c r="P20" i="19"/>
  <c r="J50" i="19"/>
  <c r="V10" i="19"/>
  <c r="V20" i="19"/>
  <c r="J40" i="19"/>
  <c r="P30" i="19"/>
  <c r="AH10" i="19"/>
  <c r="AH30" i="19"/>
  <c r="AH40" i="19"/>
  <c r="V40" i="19"/>
  <c r="AB30" i="19"/>
  <c r="AH50" i="19"/>
  <c r="J30" i="19"/>
  <c r="AH20" i="19"/>
  <c r="P50" i="19"/>
  <c r="P40" i="19"/>
  <c r="V30" i="19"/>
  <c r="J10" i="19"/>
  <c r="AB10" i="19"/>
  <c r="P10" i="19"/>
  <c r="AB20" i="19"/>
  <c r="J20" i="19"/>
  <c r="AB50" i="19"/>
  <c r="AB40" i="19"/>
  <c r="AB43" i="1"/>
  <c r="AC44" i="1"/>
  <c r="AB44" i="1" s="1"/>
  <c r="AC45" i="1"/>
  <c r="AB45" i="1" s="1"/>
  <c r="AB19" i="1"/>
  <c r="AC20" i="1"/>
  <c r="AC31" i="1"/>
  <c r="AB31" i="1" s="1"/>
  <c r="AC32" i="1"/>
  <c r="AB32" i="1" s="1"/>
  <c r="AB25" i="1"/>
  <c r="AC26" i="1"/>
  <c r="AB26" i="1" s="1"/>
  <c r="AB55" i="1"/>
  <c r="AC56" i="1"/>
  <c r="AB56" i="1" s="1"/>
  <c r="AC62" i="1"/>
  <c r="AB62" i="1" s="1"/>
  <c r="AB61" i="1"/>
  <c r="AD13" i="1"/>
  <c r="V46" i="19"/>
  <c r="P6" i="19"/>
  <c r="AB6" i="19"/>
  <c r="P16" i="19"/>
  <c r="AB36" i="19"/>
  <c r="AB46" i="19"/>
  <c r="J36" i="19"/>
  <c r="AH46" i="19"/>
  <c r="V16" i="19"/>
  <c r="AH6" i="19"/>
  <c r="P26" i="19"/>
  <c r="J26" i="19"/>
  <c r="P46" i="19"/>
  <c r="V6" i="19"/>
  <c r="AB16" i="19"/>
  <c r="AH26" i="19"/>
  <c r="J16" i="19"/>
  <c r="AH16" i="19"/>
  <c r="J6" i="19"/>
  <c r="J46" i="19"/>
  <c r="AB26" i="19"/>
  <c r="AH36" i="19"/>
  <c r="V26" i="19"/>
  <c r="V36" i="19"/>
  <c r="P36" i="19"/>
  <c r="AD19" i="1" l="1"/>
  <c r="V7" i="19"/>
  <c r="J27" i="19"/>
  <c r="V17" i="19"/>
  <c r="J47" i="19"/>
  <c r="AH47" i="19"/>
  <c r="AB47" i="19"/>
  <c r="P37" i="19"/>
  <c r="AH17" i="19"/>
  <c r="P27" i="19"/>
  <c r="P7" i="19"/>
  <c r="J7" i="19"/>
  <c r="AH27" i="19"/>
  <c r="AB7" i="19"/>
  <c r="AH37" i="19"/>
  <c r="AH7" i="19"/>
  <c r="V37" i="19"/>
  <c r="V47" i="19"/>
  <c r="V27" i="19"/>
  <c r="J17" i="19"/>
  <c r="P47" i="19"/>
  <c r="AB37" i="19"/>
  <c r="P17" i="19"/>
  <c r="AB17" i="19"/>
  <c r="AB27" i="19"/>
  <c r="J37" i="19"/>
  <c r="AD56" i="1"/>
  <c r="Q43" i="19"/>
  <c r="Q33" i="19"/>
  <c r="AI53" i="19"/>
  <c r="AI13" i="19"/>
  <c r="AC13" i="19"/>
  <c r="K53" i="19"/>
  <c r="W23" i="19"/>
  <c r="K43" i="19"/>
  <c r="AC33" i="19"/>
  <c r="W33" i="19"/>
  <c r="Q23" i="19"/>
  <c r="AI43" i="19"/>
  <c r="AI33" i="19"/>
  <c r="AI23" i="19"/>
  <c r="Q13" i="19"/>
  <c r="Q53" i="19"/>
  <c r="AC53" i="19"/>
  <c r="K23" i="19"/>
  <c r="W13" i="19"/>
  <c r="K33" i="19"/>
  <c r="AC23" i="19"/>
  <c r="W43" i="19"/>
  <c r="K13" i="19"/>
  <c r="W53" i="19"/>
  <c r="AC43" i="19"/>
  <c r="X31" i="19"/>
  <c r="L21" i="19"/>
  <c r="AJ31" i="19"/>
  <c r="L31" i="19"/>
  <c r="AD11" i="19"/>
  <c r="R51" i="19"/>
  <c r="L11" i="19"/>
  <c r="R31" i="19"/>
  <c r="X11" i="19"/>
  <c r="X41" i="19"/>
  <c r="AJ41" i="19"/>
  <c r="AD41" i="19"/>
  <c r="L51" i="19"/>
  <c r="AD45" i="1"/>
  <c r="R41" i="19"/>
  <c r="AD21" i="19"/>
  <c r="AD51" i="19"/>
  <c r="AD31" i="19"/>
  <c r="AJ11" i="19"/>
  <c r="L41" i="19"/>
  <c r="X21" i="19"/>
  <c r="X51" i="19"/>
  <c r="AJ51" i="19"/>
  <c r="AJ21" i="19"/>
  <c r="R11" i="19"/>
  <c r="R21" i="19"/>
  <c r="AD55" i="1"/>
  <c r="P43" i="19"/>
  <c r="V43" i="19"/>
  <c r="V53" i="19"/>
  <c r="J53" i="19"/>
  <c r="AH33" i="19"/>
  <c r="P23" i="19"/>
  <c r="AB53" i="19"/>
  <c r="J23" i="19"/>
  <c r="AB23" i="19"/>
  <c r="AB43" i="19"/>
  <c r="AH13" i="19"/>
  <c r="J33" i="19"/>
  <c r="AH23" i="19"/>
  <c r="V33" i="19"/>
  <c r="P33" i="19"/>
  <c r="AB33" i="19"/>
  <c r="AH43" i="19"/>
  <c r="J13" i="19"/>
  <c r="V13" i="19"/>
  <c r="P53" i="19"/>
  <c r="AB13" i="19"/>
  <c r="P13" i="19"/>
  <c r="AH53" i="19"/>
  <c r="V23" i="19"/>
  <c r="J43" i="19"/>
  <c r="AD44" i="1"/>
  <c r="Q41" i="19"/>
  <c r="K51" i="19"/>
  <c r="K31" i="19"/>
  <c r="AI51" i="19"/>
  <c r="Q51" i="19"/>
  <c r="W31" i="19"/>
  <c r="K11" i="19"/>
  <c r="AI21" i="19"/>
  <c r="W21" i="19"/>
  <c r="AC21" i="19"/>
  <c r="AI31" i="19"/>
  <c r="W51" i="19"/>
  <c r="Q31" i="19"/>
  <c r="AI41" i="19"/>
  <c r="AC11" i="19"/>
  <c r="Q11" i="19"/>
  <c r="K21" i="19"/>
  <c r="AC31" i="19"/>
  <c r="K41" i="19"/>
  <c r="Q21" i="19"/>
  <c r="AI11" i="19"/>
  <c r="W11" i="19"/>
  <c r="AC51" i="19"/>
  <c r="AC41" i="19"/>
  <c r="W41" i="19"/>
  <c r="AD62" i="1"/>
  <c r="Q34" i="19"/>
  <c r="K54" i="19"/>
  <c r="K14" i="19"/>
  <c r="AI54" i="19"/>
  <c r="K44" i="19"/>
  <c r="K24" i="19"/>
  <c r="W54" i="19"/>
  <c r="AI24" i="19"/>
  <c r="AI14" i="19"/>
  <c r="AC54" i="19"/>
  <c r="W44" i="19"/>
  <c r="AC14" i="19"/>
  <c r="AI44" i="19"/>
  <c r="Q14" i="19"/>
  <c r="AC44" i="19"/>
  <c r="AC34" i="19"/>
  <c r="W24" i="19"/>
  <c r="AC24" i="19"/>
  <c r="W34" i="19"/>
  <c r="Q54" i="19"/>
  <c r="Q44" i="19"/>
  <c r="AI34" i="19"/>
  <c r="K34" i="19"/>
  <c r="W14" i="19"/>
  <c r="Q24" i="19"/>
  <c r="AD26" i="1"/>
  <c r="AI8" i="19"/>
  <c r="K48" i="19"/>
  <c r="AC18" i="19"/>
  <c r="Q8" i="19"/>
  <c r="AI38" i="19"/>
  <c r="W48" i="19"/>
  <c r="Q28" i="19"/>
  <c r="AI28" i="19"/>
  <c r="Q48" i="19"/>
  <c r="AI18" i="19"/>
  <c r="K28" i="19"/>
  <c r="W8" i="19"/>
  <c r="AC8" i="19"/>
  <c r="AC48" i="19"/>
  <c r="W28" i="19"/>
  <c r="K8" i="19"/>
  <c r="AI48" i="19"/>
  <c r="K38" i="19"/>
  <c r="Q18" i="19"/>
  <c r="AC28" i="19"/>
  <c r="AC38" i="19"/>
  <c r="K18" i="19"/>
  <c r="W38" i="19"/>
  <c r="Q38" i="19"/>
  <c r="W18" i="19"/>
  <c r="AD43" i="1"/>
  <c r="J21" i="19"/>
  <c r="J41" i="19"/>
  <c r="AH31" i="19"/>
  <c r="V31" i="19"/>
  <c r="V21" i="19"/>
  <c r="V51" i="19"/>
  <c r="P31" i="19"/>
  <c r="AH21" i="19"/>
  <c r="AH51" i="19"/>
  <c r="P51" i="19"/>
  <c r="P21" i="19"/>
  <c r="AH11" i="19"/>
  <c r="J51" i="19"/>
  <c r="AB51" i="19"/>
  <c r="AB21" i="19"/>
  <c r="P41" i="19"/>
  <c r="J11" i="19"/>
  <c r="J31" i="19"/>
  <c r="AH41" i="19"/>
  <c r="P11" i="19"/>
  <c r="V41" i="19"/>
  <c r="AB11" i="19"/>
  <c r="V11" i="19"/>
  <c r="AB41" i="19"/>
  <c r="AB31" i="19"/>
  <c r="AD25" i="1"/>
  <c r="AB28" i="19"/>
  <c r="J18" i="19"/>
  <c r="J8" i="19"/>
  <c r="AH48" i="19"/>
  <c r="V28" i="19"/>
  <c r="AH38" i="19"/>
  <c r="AH18" i="19"/>
  <c r="V48" i="19"/>
  <c r="P28" i="19"/>
  <c r="AH8" i="19"/>
  <c r="AH28" i="19"/>
  <c r="P8" i="19"/>
  <c r="J28" i="19"/>
  <c r="AB38" i="19"/>
  <c r="AB48" i="19"/>
  <c r="AB18" i="19"/>
  <c r="V8" i="19"/>
  <c r="P48" i="19"/>
  <c r="V18" i="19"/>
  <c r="J38" i="19"/>
  <c r="J48" i="19"/>
  <c r="V38" i="19"/>
  <c r="P18" i="19"/>
  <c r="P38" i="19"/>
  <c r="AB8" i="19"/>
  <c r="AD32" i="1"/>
  <c r="AC29" i="19"/>
  <c r="AI9" i="19"/>
  <c r="AI29" i="19"/>
  <c r="AC9" i="19"/>
  <c r="W19" i="19"/>
  <c r="Q19" i="19"/>
  <c r="W49" i="19"/>
  <c r="W29" i="19"/>
  <c r="K39" i="19"/>
  <c r="Q39" i="19"/>
  <c r="AC39" i="19"/>
  <c r="AI49" i="19"/>
  <c r="K49" i="19"/>
  <c r="AC19" i="19"/>
  <c r="AI39" i="19"/>
  <c r="K29" i="19"/>
  <c r="Q49" i="19"/>
  <c r="AC49" i="19"/>
  <c r="K19" i="19"/>
  <c r="Q29" i="19"/>
  <c r="AI19" i="19"/>
  <c r="W39" i="19"/>
  <c r="K9" i="19"/>
  <c r="W9" i="19"/>
  <c r="Q9" i="19"/>
  <c r="AD31" i="1"/>
  <c r="J9" i="19"/>
  <c r="V39" i="19"/>
  <c r="P49" i="19"/>
  <c r="AH29" i="19"/>
  <c r="V9" i="19"/>
  <c r="AH49" i="19"/>
  <c r="AH9" i="19"/>
  <c r="P9" i="19"/>
  <c r="V29" i="19"/>
  <c r="J29" i="19"/>
  <c r="AB29" i="19"/>
  <c r="V49" i="19"/>
  <c r="AB49" i="19"/>
  <c r="P39" i="19"/>
  <c r="V19" i="19"/>
  <c r="J39" i="19"/>
  <c r="AB9" i="19"/>
  <c r="AH39" i="19"/>
  <c r="AB39" i="19"/>
  <c r="P29" i="19"/>
  <c r="AH19" i="19"/>
  <c r="J19" i="19"/>
  <c r="P19" i="19"/>
  <c r="AB19" i="19"/>
  <c r="J49" i="19"/>
  <c r="AD61" i="1"/>
  <c r="AB14" i="19"/>
  <c r="AB54" i="19"/>
  <c r="AH14" i="19"/>
  <c r="J44" i="19"/>
  <c r="AB44" i="19"/>
  <c r="V24" i="19"/>
  <c r="P54" i="19"/>
  <c r="AH54" i="19"/>
  <c r="AH24" i="19"/>
  <c r="J34" i="19"/>
  <c r="V14" i="19"/>
  <c r="AB34" i="19"/>
  <c r="J14" i="19"/>
  <c r="P14" i="19"/>
  <c r="V44" i="19"/>
  <c r="AH44" i="19"/>
  <c r="P34" i="19"/>
  <c r="P24" i="19"/>
  <c r="J54" i="19"/>
  <c r="AH34" i="19"/>
  <c r="AB24" i="19"/>
  <c r="V54" i="19"/>
  <c r="P44" i="19"/>
  <c r="J24" i="19"/>
  <c r="V34" i="19"/>
  <c r="AC21" i="1"/>
  <c r="AB21" i="1" s="1"/>
  <c r="AB20" i="1"/>
  <c r="AD21" i="1" l="1"/>
  <c r="AJ27" i="19"/>
  <c r="AD27" i="19"/>
  <c r="AD7" i="19"/>
  <c r="R17" i="19"/>
  <c r="X47" i="19"/>
  <c r="L27" i="19"/>
  <c r="AD37" i="19"/>
  <c r="L47" i="19"/>
  <c r="AJ17" i="19"/>
  <c r="R7" i="19"/>
  <c r="AD47" i="19"/>
  <c r="R47" i="19"/>
  <c r="AJ37" i="19"/>
  <c r="X27" i="19"/>
  <c r="R37" i="19"/>
  <c r="AJ47" i="19"/>
  <c r="L7" i="19"/>
  <c r="X37" i="19"/>
  <c r="X17" i="19"/>
  <c r="R27" i="19"/>
  <c r="AD17" i="19"/>
  <c r="L37" i="19"/>
  <c r="X7" i="19"/>
  <c r="AJ7" i="19"/>
  <c r="L17" i="19"/>
  <c r="AD20" i="1"/>
  <c r="AC47" i="19"/>
  <c r="AC37" i="19"/>
  <c r="AC27" i="19"/>
  <c r="Q47" i="19"/>
  <c r="AC17" i="19"/>
  <c r="K17" i="19"/>
  <c r="W27" i="19"/>
  <c r="AI47" i="19"/>
  <c r="K7" i="19"/>
  <c r="W17" i="19"/>
  <c r="Q37" i="19"/>
  <c r="AC7" i="19"/>
  <c r="W37" i="19"/>
  <c r="Q27" i="19"/>
  <c r="K37" i="19"/>
  <c r="K47" i="19"/>
  <c r="Q17" i="19"/>
  <c r="W47" i="19"/>
  <c r="AI7" i="19"/>
  <c r="K27" i="19"/>
  <c r="AI27" i="19"/>
  <c r="AI37" i="19"/>
  <c r="Q7" i="19"/>
  <c r="W7" i="19"/>
  <c r="AI17" i="19"/>
  <c r="L526" i="1" l="1"/>
  <c r="M526" i="1" s="1"/>
  <c r="N526" i="1" l="1"/>
  <c r="AC526" i="1" s="1"/>
  <c r="O526" i="1"/>
  <c r="AB526" i="1" l="1"/>
  <c r="AD526" i="1" s="1"/>
  <c r="AC527" i="1"/>
  <c r="AB527" i="1" s="1"/>
  <c r="AD527" i="1" s="1"/>
  <c r="AC528" i="1"/>
  <c r="AB528" i="1" l="1"/>
  <c r="AD528" i="1" s="1"/>
  <c r="AC530" i="1"/>
  <c r="AC529" i="1"/>
  <c r="AB529" i="1" s="1"/>
  <c r="AD529" i="1" s="1"/>
  <c r="AB530" i="1" l="1"/>
  <c r="AD530" i="1" s="1"/>
  <c r="AC531" i="1"/>
  <c r="AB531" i="1" s="1"/>
  <c r="AD531" i="1" s="1"/>
</calcChain>
</file>

<file path=xl/comments1.xml><?xml version="1.0" encoding="utf-8"?>
<comments xmlns="http://schemas.openxmlformats.org/spreadsheetml/2006/main">
  <authors>
    <author>Camilo</author>
  </authors>
  <commentList>
    <comment ref="E11" authorId="0" shapeId="0">
      <text>
        <r>
          <rPr>
            <b/>
            <sz val="9"/>
            <color indexed="81"/>
            <rFont val="Tahoma"/>
            <family val="2"/>
          </rPr>
          <t>DDO :</t>
        </r>
        <r>
          <rPr>
            <sz val="9"/>
            <color indexed="81"/>
            <rFont val="Tahoma"/>
            <family val="2"/>
          </rPr>
          <t xml:space="preserve">En este campo es importante tener en cuenta, los insumos generados para identificación de contexto y sus factores, riesgos vigencia anterior, evaluaciones Control Interno. </t>
        </r>
      </text>
    </comment>
    <comment ref="H11" authorId="0" shapeId="0">
      <text>
        <r>
          <rPr>
            <b/>
            <sz val="9"/>
            <color indexed="81"/>
            <rFont val="Tahoma"/>
            <family val="2"/>
          </rPr>
          <t>DDO:</t>
        </r>
        <r>
          <rPr>
            <sz val="9"/>
            <color indexed="81"/>
            <rFont val="Tahoma"/>
            <family val="2"/>
          </rPr>
          <t xml:space="preserve">En este Campo se diligencia la cantidad de veces que se repite la actividad en formato numérico.
</t>
        </r>
      </text>
    </comment>
    <comment ref="AG11" authorId="0" shapeId="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AK11" authorId="0" shapeId="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AL11" authorId="0" shapeId="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AM11" authorId="0" shapeId="0">
      <text>
        <r>
          <rPr>
            <b/>
            <sz val="9"/>
            <color indexed="81"/>
            <rFont val="Tahoma"/>
            <family val="2"/>
          </rPr>
          <t>DDO:</t>
        </r>
        <r>
          <rPr>
            <sz val="9"/>
            <color indexed="81"/>
            <rFont val="Tahoma"/>
            <family val="2"/>
          </rPr>
          <t xml:space="preserve"> En este campo se diligencia el numero que genera el aplicativo, para el riesgo registrado. 
</t>
        </r>
      </text>
    </comment>
    <comment ref="AN11" authorId="0" shapeId="0">
      <text>
        <r>
          <rPr>
            <b/>
            <sz val="9"/>
            <color indexed="81"/>
            <rFont val="Tahoma"/>
            <family val="2"/>
          </rPr>
          <t>DDO:</t>
        </r>
        <r>
          <rPr>
            <sz val="9"/>
            <color indexed="81"/>
            <rFont val="Tahoma"/>
            <family val="2"/>
          </rPr>
          <t xml:space="preserve">en este campo se registran los cambios que se generen durante la vigencia (responsables, modificación de actividades o controles, materializaciones de riesgos , fechas de aprobación y/o modificación).Tenga en cuenta que los cambio son realizados de fuerza mayor o estricta necesidad del proceso con el aval de la DDO.   
</t>
        </r>
      </text>
    </comment>
  </commentList>
</comments>
</file>

<file path=xl/comments2.xml><?xml version="1.0" encoding="utf-8"?>
<comments xmlns="http://schemas.openxmlformats.org/spreadsheetml/2006/main">
  <authors>
    <author>Camilo</author>
  </authors>
  <commentList>
    <comment ref="C1" authorId="0" shapeId="0">
      <text>
        <r>
          <rPr>
            <b/>
            <sz val="9"/>
            <color indexed="81"/>
            <rFont val="Tahoma"/>
            <family val="2"/>
          </rPr>
          <t>DDO:</t>
        </r>
        <r>
          <rPr>
            <sz val="9"/>
            <color indexed="81"/>
            <rFont val="Tahoma"/>
            <family val="2"/>
          </rPr>
          <t xml:space="preserve"> En este campo se diligencia el numero que genera el aplicativo, para el riesgo registrado.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<sst xmlns="http://schemas.openxmlformats.org/spreadsheetml/2006/main" count="6676" uniqueCount="1353">
  <si>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</si>
  <si>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</si>
  <si>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</si>
  <si>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</si>
  <si>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</si>
  <si>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</si>
  <si>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</si>
  <si>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</si>
  <si>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</si>
  <si>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</si>
  <si>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</si>
  <si>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</si>
  <si>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</si>
  <si>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</si>
  <si>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</si>
  <si>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</si>
  <si>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</si>
  <si>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</si>
  <si>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</si>
  <si>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</si>
  <si>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</si>
  <si>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</si>
  <si>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</si>
  <si>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</si>
  <si>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</si>
  <si>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</si>
  <si>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</si>
  <si>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</si>
  <si>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</si>
  <si>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</si>
  <si>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</si>
  <si>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</si>
  <si>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</si>
  <si>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</si>
  <si>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Fecha Implementación</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</si>
  <si>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</si>
  <si>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</si>
  <si>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</si>
  <si>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</si>
  <si>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</si>
  <si>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</si>
  <si>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</si>
  <si>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</si>
  <si>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</si>
  <si>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</si>
  <si>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</si>
  <si>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</si>
  <si>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</si>
  <si>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</si>
  <si>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</si>
  <si>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</si>
  <si>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</si>
  <si>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</si>
  <si>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</si>
  <si>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</si>
  <si>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</si>
  <si>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</si>
  <si>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</si>
  <si>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</si>
  <si>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</si>
  <si>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</si>
  <si>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</si>
  <si>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</si>
  <si>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</si>
  <si>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</si>
  <si>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</si>
  <si>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</si>
  <si>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</si>
  <si>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</si>
  <si>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</si>
  <si>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</si>
  <si>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</si>
  <si>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</si>
  <si>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</si>
  <si>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</si>
  <si>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</si>
  <si>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</si>
  <si>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</si>
  <si>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</si>
  <si>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</si>
  <si>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</si>
  <si>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</si>
  <si>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</si>
  <si>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</si>
  <si>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</si>
  <si>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</si>
  <si>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</si>
  <si>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</si>
  <si>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</si>
  <si>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</si>
  <si>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</si>
  <si>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</si>
  <si>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</si>
  <si>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</si>
  <si>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</si>
  <si>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</si>
  <si>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</si>
  <si>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</si>
  <si>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</si>
  <si>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</si>
  <si>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</si>
  <si>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</si>
  <si>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</si>
  <si>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</si>
  <si>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</si>
  <si>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</si>
  <si>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</si>
  <si>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</si>
  <si>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</si>
  <si>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</si>
  <si>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</si>
  <si>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</si>
  <si>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</si>
  <si>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</si>
  <si>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</si>
  <si>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</si>
  <si>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</si>
  <si>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</si>
  <si>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</si>
  <si>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</si>
  <si>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</si>
  <si>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</si>
  <si>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</si>
  <si>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</si>
  <si>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</si>
  <si>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</si>
  <si>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</si>
  <si>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</si>
  <si>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</si>
  <si>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</si>
  <si>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</si>
  <si>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</si>
  <si>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</si>
  <si>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</si>
  <si>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</si>
  <si>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</si>
  <si>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</si>
  <si>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</si>
  <si>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</si>
  <si>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</si>
  <si>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</si>
  <si>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</si>
  <si>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</si>
  <si>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</si>
  <si>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</si>
  <si>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</si>
  <si>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</si>
  <si>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</si>
  <si>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</si>
  <si>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</si>
  <si>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</si>
  <si>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</si>
  <si>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</si>
  <si>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</si>
  <si>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</si>
  <si>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</si>
  <si>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</si>
  <si>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</si>
  <si>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</si>
  <si>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</si>
  <si>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</si>
  <si>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</si>
  <si>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</si>
  <si>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</si>
  <si>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</si>
  <si>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</si>
  <si>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</si>
  <si>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</si>
  <si>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</si>
  <si>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</si>
  <si>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</si>
  <si>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</si>
  <si>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</si>
  <si>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</si>
  <si>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</si>
  <si>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</si>
  <si>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</si>
  <si>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</si>
  <si>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</si>
  <si>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</si>
  <si>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</si>
  <si>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</si>
  <si>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</si>
  <si>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</si>
  <si>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</si>
  <si>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</si>
  <si>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</si>
  <si>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</si>
  <si>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</si>
  <si>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No se afecta la imagen institucional de alguna área de forma significativa.</t>
  </si>
  <si>
    <t xml:space="preserve">Afecta la imagen de la entidad internamente, de conocimiento general, nivel interno, de junta directiva y accionistas y/o de proveedores. 
Imagen institucional afectada localmente por retrasos en la prestación del servicio a los usuarios o ciudadanos.
</t>
  </si>
  <si>
    <t xml:space="preserve">Afecta la imagen de la entidad con algunos usuarios de relevancia frente al logro de los objetivos. 
Imagen institucional afectada en el orden nacional o regional por retrasos en la prestación del servicio a los usuarios o ciudadanos.
</t>
  </si>
  <si>
    <t xml:space="preserve">Afecta la imagen de la entidad con efecto publicitario sostenido a nivel de sector administrativo, departamental o municipal. 
Imagen institucional afectada en el orden nacional o regional por incumplimientos en la prestación del servicio a los usuarios o ciudadanos
</t>
  </si>
  <si>
    <t xml:space="preserve">Afecta la imagen de la entidad a nivel nacional, con efecto publicitario sostenible a nivel país. 
Imagen institucional afectada en el orden nacional o regional por actos o hechos de corrupción comprobados.
</t>
  </si>
  <si>
    <t>Afectación menor a 10 SMLMV</t>
  </si>
  <si>
    <t>Entre 10 y 50 SMLMV</t>
  </si>
  <si>
    <t>Entre 50 y 100 SMLMV</t>
  </si>
  <si>
    <t>Entre 100 y 500 SMLMV</t>
  </si>
  <si>
    <t>Mayor a 500 SMLMV</t>
  </si>
  <si>
    <t>Cargo del Responsable</t>
  </si>
  <si>
    <t>Nombre del Responsable</t>
  </si>
  <si>
    <t>Direccionamiento Estratégico y Articulación Gerencial</t>
  </si>
  <si>
    <t>Planificación del Desarrollo Institucional</t>
  </si>
  <si>
    <t xml:space="preserve">Planificación del Desarrollo Institucional </t>
  </si>
  <si>
    <t>Integración Regional</t>
  </si>
  <si>
    <t>Comunicaciones</t>
  </si>
  <si>
    <t>Promoción de Ciencia, Tecnología e Innovación</t>
  </si>
  <si>
    <t>Promoción del Desarrollo Social</t>
  </si>
  <si>
    <t>Promoción del Transporte y la Movilidad</t>
  </si>
  <si>
    <t xml:space="preserve">Fortalecimiento Territorial </t>
  </si>
  <si>
    <t>Promoción del Desarrollo Educativo</t>
  </si>
  <si>
    <t>Promoción de la Competitividad y Desarrollo Económico Sostenible</t>
  </si>
  <si>
    <t>Promoción del Desarrollo de Salud</t>
  </si>
  <si>
    <t>Fortalecimiento Territorial</t>
  </si>
  <si>
    <t>Evaluación y Seguimiento</t>
  </si>
  <si>
    <t>Gestión del Bienestar y Desempeño del Talento Humano</t>
  </si>
  <si>
    <t>Gestión de los Ingresos</t>
  </si>
  <si>
    <t>Gestión de Recursos Físicos</t>
  </si>
  <si>
    <t>Gestión Tecnológica</t>
  </si>
  <si>
    <t>Gestión Contractual</t>
  </si>
  <si>
    <t>Gestión Jurídica</t>
  </si>
  <si>
    <t>Gestión de la Seguridad y Salud en el Trabajo</t>
  </si>
  <si>
    <t>Gestión Financiera</t>
  </si>
  <si>
    <t>Asistencia Técnica</t>
  </si>
  <si>
    <t>Gestión Documental</t>
  </si>
  <si>
    <t>Atención al Usuario</t>
  </si>
  <si>
    <t>Gestión de Asuntos Internacionales</t>
  </si>
  <si>
    <t xml:space="preserve">Registro de Actualizaciones </t>
  </si>
  <si>
    <t>Fecha Compromiso</t>
  </si>
  <si>
    <t>PLANIFICACION DEL DESARROLLO INSTITUCIONAL</t>
  </si>
  <si>
    <t>Código: E - PID - FR - 081</t>
  </si>
  <si>
    <t>Área del Responsable</t>
  </si>
  <si>
    <t>Jefe del Área del Responsable</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</si>
  <si>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Riesgos: </t>
    </r>
    <r>
      <rPr>
        <sz val="10"/>
        <rFont val="Arial Narrow"/>
        <family val="2"/>
      </rPr>
      <t>Encontrará la totalidad de la estructura para la identificación y valoración de los riesgos por proceso, programa o proyecto, acorde con el nivel de desagregación que la entidad considere necesaria.</t>
    </r>
  </si>
  <si>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</si>
  <si>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</si>
  <si>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</si>
  <si>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</si>
  <si>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</si>
  <si>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3 Mapa Riesgos de Corrupción: </t>
    </r>
    <r>
      <rPr>
        <sz val="11"/>
        <rFont val="Arial Narrow"/>
        <family val="2"/>
      </rPr>
      <t xml:space="preserve"> Encontrará la totalidad de la estructura para la identificación y valoración de los riesgos por proceso, programa o proyecto, acorde con el nivel de desagregación que la entidad considere necesaria.</t>
    </r>
  </si>
  <si>
    <t xml:space="preserve">Plan de Acción </t>
  </si>
  <si>
    <t>Utilice la lista de despligue que se encuentra parametrizada, le aparecerán las opciones de la tabla de Impacto en la tabla Impacto del presente documento. La matriz automáticamente hará el cálculo para el nivel de impacto inherente (Columnas K)</t>
  </si>
  <si>
    <t>Teniendo en cuenta que ingresó la información de PROBABILIDAD e IMPACTO, la matriz automáticamente hará el cálculo para la zona de riesgo inherente (Columna O)</t>
  </si>
  <si>
    <t>Esta casilla no se diligencia, depende de la selección en la columna S.</t>
  </si>
  <si>
    <r>
      <t xml:space="preserve">ATRIBUTOS INFORMATIVOS
</t>
    </r>
    <r>
      <rPr>
        <sz val="9"/>
        <rFont val="Arial Narrow"/>
        <family val="2"/>
      </rPr>
      <t>Evidencia</t>
    </r>
  </si>
  <si>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AC-AD).</t>
    </r>
  </si>
  <si>
    <t>Número de Riesgo en Aplicativo</t>
  </si>
  <si>
    <t xml:space="preserve">Plan de acción </t>
  </si>
  <si>
    <t>Gestión Ambiental</t>
  </si>
  <si>
    <t>Gestión de Seguridad de la información</t>
  </si>
  <si>
    <t xml:space="preserve">Fecha de aprobación: </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</si>
  <si>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</si>
  <si>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</si>
  <si>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</si>
  <si>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</si>
  <si>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Versión: 10</t>
  </si>
  <si>
    <t>Compartir</t>
  </si>
  <si>
    <t xml:space="preserve">Reducir </t>
  </si>
  <si>
    <t>Fecha de aprobación:  04/04/2022</t>
  </si>
  <si>
    <t>Incumplimiento de los objetivos y metas del plan de desarrollo departamental.</t>
  </si>
  <si>
    <t>Deficiencias en la etapa de seguimiento al Plan de Desarrollo Departamental.</t>
  </si>
  <si>
    <t>Dirección de Seguimiento y Evaluación
Posibilidad de afectación a la reputación por Incumplimiento de los objetivos y metas del plan de desarrollo departamental debido deficiencias en la etapa de seguimiento al Plan de Desarrollo Departamental.</t>
  </si>
  <si>
    <t>Trimestralmente el líder de la dirección de seguimiento y evaluación (funcionario o contratista) asignado a cada entidad, realiza seguimiento a los avances del Plan de Desarrollo, atendiendo lo dispuesto en el procedimiento Gestión Plan Indicativo E-DEAG-PR-002, según lo reportado por cada una de las entidades responsables, con el fin de evidenciar la coherencia de la programación, ejecución y avances de las metas del plan de desarrollo, en caso de encontrar diferencias en la programación o inconsistencias en lo reportado, se procede a informar a las secretarias o entidades ejecutoras con el fin de corregir o reprogramar lo pertinente. Como evidencia queda: avances en los instrumentos de seguimiento, correos electrónicos con observaciones, informes de seguimiento y solicitudes de modificación al Plan Indicativo formato E-DEAG-FR-058.</t>
  </si>
  <si>
    <t>Toma de decisiones inadecuadas por la alta dirección</t>
  </si>
  <si>
    <t>Información insuficiente sobre ejecución del plan de desarrollo</t>
  </si>
  <si>
    <t>Dirección de Seguimiento y Evaluación
Posibilidad de afectación a la reputación por la toma de decisiones inadecuadas por la alta dirección debido a información insuficiente sobre ejecución del plan de desarrollo.</t>
  </si>
  <si>
    <t>Diana Carolina Torres Castellanos</t>
  </si>
  <si>
    <t>Directora técnica Seguimiento y Evaluación</t>
  </si>
  <si>
    <t>Secretaría de Planeación</t>
  </si>
  <si>
    <t xml:space="preserve"> Formulación de políticas públicas sin integralidad, coherencia y legitimidad</t>
  </si>
  <si>
    <t>Falta de competencias tecnicas en los funcionarios formuladores</t>
  </si>
  <si>
    <t>(Dirección de Politicas públicas)
Posibilidad de afectación economica y reputacional por formulación de políticas públicas sin integralidad, coherencia y legitimidad debido a la falta de competencias tecnicas en los funcionarios formuladores.</t>
  </si>
  <si>
    <t>Cristian Chavez Salas</t>
  </si>
  <si>
    <t>Director</t>
  </si>
  <si>
    <t>Dirección de política pública</t>
  </si>
  <si>
    <t>Implentacion, monitoreo y evaluacion de políticas públicas que no contribuyan al desarrollo integral del Departamento</t>
  </si>
  <si>
    <t>No aplicación de los lineamientos</t>
  </si>
  <si>
    <t>(Dirección de Politicas públicas)
Posibilidad de afectación economica y reputacional por la ejecución, monitoreo y evaluacion de políticas públicas que no contribuyan al desarrollo integral del Departamento debido a la no aplicación de los lineamientos.</t>
  </si>
  <si>
    <t>Perdida de capacidad para ejecutar recursos del sistema general de regalías</t>
  </si>
  <si>
    <t>Causa: Baja calificación en el índice de gestión de proyectos
Subcausa: Indebido seguimiento a la ejecución de proyectos financiados con recursos del sistema general de regalías</t>
  </si>
  <si>
    <t>(Dirección de Gestión de la Inversión)
Posibilidad de afectación económica y reputacional  por perdida de capacidad para ejecutar recursos del sistema general de regalías debido a baja calificación en el índice de gestión de proyectos</t>
  </si>
  <si>
    <t>Rusvel Nieto</t>
  </si>
  <si>
    <t>Dirección de Gestión de la Inversión</t>
  </si>
  <si>
    <t>Errores o inoportunidad en la captura de los dato</t>
  </si>
  <si>
    <t>German Rodriguez</t>
  </si>
  <si>
    <t>Dirección de Finanzas Públicas</t>
  </si>
  <si>
    <t>31/12//2021</t>
  </si>
  <si>
    <t>Emisión de lineamientos y directrices de planificación territorial que vayan en detrimento del desarrollo equilibrado del territorio.</t>
  </si>
  <si>
    <t>Causa raíz: Aplicación de normas desactualizadas
Subcausa: Falta de actualización de conocimientos de los profesionales de la dirección de desarrollo teritorial y de los municipios</t>
  </si>
  <si>
    <t>(Dirección Desarrollo Territorial)
Posibilidad de afectación económica y reputacional por emisión de lineamientos y directrices de planificación territorial que vayan en detrimento del desarrollo equilibrado del territorio debido a la aplicación de normas desactualizadas.</t>
  </si>
  <si>
    <t>Angela Martínez</t>
  </si>
  <si>
    <t>Directora</t>
  </si>
  <si>
    <t>Dirección de Desarrollo Territorial</t>
  </si>
  <si>
    <t>31/12//2022</t>
  </si>
  <si>
    <t>Fuga de capital intelectual</t>
  </si>
  <si>
    <t>Causa: Ausencia de los  inventarios del conocimiento tácito y explícito  de la entidad.
Subcausa: Debilidades en procesos de transferencia de conocimiento</t>
  </si>
  <si>
    <t>(Dirección de infraestructura de datos)
Posibilidad de afectación económica y reputacional por Fuga de capital intelectual debido a ausencia de   inventarios del conocimiento tácito y explícito  de la entidad.</t>
  </si>
  <si>
    <t>Trimestralmente el  equipo catalizador  GESCO + I genera actualización del  instructivos de conocimiento tacito y explicito con el fin de mitigar la fuga de capial intelectual de los serviores y dependecias de la Gobernación de Cundinamarca-En caso de desviaciones se procede a realizar mesas de trabajo para articular los criterios de transferencia de conocimiento. Como evidencia queda el inventario de conocimiento tácito, inventario de conocimiento explicito y los demás soportes de la política de Gestión del Conocimiento e Innovación.</t>
  </si>
  <si>
    <t>1. Elaboración de los inventario del conocimiento tácito y explícito 
2. Mesas de trabajo  y socialización con el equipo catalizador  para las  actividades transversales de la política de gestión del conocimiento</t>
  </si>
  <si>
    <t xml:space="preserve">Luz Yaneth Espinosa Perdomo </t>
  </si>
  <si>
    <t xml:space="preserve">Profesional Universitario </t>
  </si>
  <si>
    <t>Dirección de Infraestructura de datos Espaciales y Estadísticos.</t>
  </si>
  <si>
    <t xml:space="preserve">Juan Ricardo Mozo Zapata </t>
  </si>
  <si>
    <t>Desarrollar una estrategia de trabajo que permita identificar y subsanar inconsistencias durante la ejecución de proyectos financiados con recursos del sistema general de regalías- SGR:
1. Realizar informes de alerta con la identificación de inconsistencias preserntadas durante la ejecución de proyectos financiados con recursos del sistema general de regalías- SGR.
2. Realizar mesas de trabajo que conlleven a la subsanación de las inconsistencias presentadas.</t>
  </si>
  <si>
    <t>1. Realizar acompañamiento a la formulación de políticas públicas Departamentales a cada una de  las secretarias que lideran la política pública.
2. Realizar socializaciones sobre los procedimientos y métodos de formulación de políticas públicas a los líderes del proceso en cada política Publica con el fin de dar observaciones a la ejecución de los lineamientos  del procedimiento  E-DEAG-PR-014</t>
  </si>
  <si>
    <t>Semestralmente el equipo catalizador  de la politica de Gestión del Conocimiento y la Innovación  realiza el autodiagnostico para determinar el nivel de cumplimiento de dicha política, con este insumo se procede a formular el plan de trabajo el cual es ejecutado durante toda la vigencia. En caso de desviaciones se procede a reprogramar las actividades. Como evidencia del control se deja diagnóstico y plan de trabajo de la política.</t>
  </si>
  <si>
    <t>Posibilidad de afectación económica y reputacional por interrupción de aplicaciones  web   que apoyan a las diferentes secretarias en la generación, captura y difusión de información geográfica y estadística debido a falta de soporte técnico y humano</t>
  </si>
  <si>
    <t>Falta de soporte técnico y humano</t>
  </si>
  <si>
    <t>Interrupción de aplicaciones  web   que apoyan a las diferentes secretarias en la generación, captura y difusión de información geográfica y estadística.</t>
  </si>
  <si>
    <t>Gestionar los procesos de mantenimiento y actualización de las aplicaciones web que soportan la información geográfica y estadística</t>
  </si>
  <si>
    <t>Luis Guillermo Montenegro Motta</t>
  </si>
  <si>
    <t>Profesional Especializado</t>
  </si>
  <si>
    <t>Juan Ricardo Mozo Zapata</t>
  </si>
  <si>
    <t>Director Técnico</t>
  </si>
  <si>
    <t>Mensualmente el equipo de profesionales de la Dirección de Desarrollo Territorial realiza actualización sobre las normas sobre ordenamiento territorial expedidas, a partir de elaboración de boletin jurídico con el propósito de incorporar en los instrumentos de planeación municipal las directrices, objetivos y estrategias y normatividad aplicable. En caso de encontrar desviaciones se procede a notificar a la alta dirección de los municipios para actualizar la normatividad aplicada. Como se evidencia quedan los soportes de jornadas de actualización mensual "Planeación desde la Provncia" y los boletines jurídica.</t>
  </si>
  <si>
    <t>1. Realizar socializaciones y mesas de trabajo sobre ordenamiento territorial con el fin de fortalecer los conocimientos del equipo de la dirección y los funcionarios municipales.
2. Realizar el envío de boletines jurídicos a las secretarias de Planeación municipales.</t>
  </si>
  <si>
    <t>1. Realizar cronograma seguimiento por actividad.
2. Dar cumplimiento al cronograma del plan de asistencia tecnica a los municipios en estado critico, riesgo y aquellos que excedieron los limites de concejo y personeria.
3. Enviar comunicaciones personalizada a los entes territoriales y entes de control  dando a conocer el resultado obtenido mediante informe correspondiente.</t>
  </si>
  <si>
    <t>Cada vez que se requiera el equipo encargado de Seguimiento al Plan de Desarrollo verifica la realización del reporte de avance de las metas del PDD , atendiendo a lo dispuesto en el procedimiento Gestión Plan Indicativo E-DEAG-PR-002, con el fin de mantener la información actualizada para los casos en que se requieran reportes extratemporaneos por parte de la alta Dirección.En caso de encontrar  inconsistencias en lo reportado, se procede a informar a las secretarias o entidades ejecutoras con el fin de corregir  lo pertinente. Como evidencia queda: avances en los instrumentos de seguimiento, presentaciones de avance del PDD.</t>
  </si>
  <si>
    <t xml:space="preserve">Trimestralmente el equipo encargado de Seguimiento al Plan de Desarrollo Departamental asignado a cada entidad, solicita a las entidades responsables el reporte de ejecución de las metas del plan de desarrollo , con el fin de consolidar la información necesaria para presentar el avance del Plan de Desarrollo Departamental , en caso de no recibir la información necesaria se procede a requerir a las secretarias o entidades ejecutoras con el fin de obtener la información. Como evidencia queda: circulares con cronogramas de reporte y correos electrónicos requiriendo información. </t>
  </si>
  <si>
    <t xml:space="preserve">(Dirección de Finanzas Públicas)
Posibilidad de afectación reputacional por generacion de informes y seguimientos con información financiera inexacta debido a errores o inoportunidades en la captura de los datos emitidos por el ente territorial </t>
  </si>
  <si>
    <t>Generación de informes con información financiera inexacta</t>
  </si>
  <si>
    <t xml:space="preserve">1.   Crear e Implementar formato de asistencia tecnica para realizar el seguimiento , enfocado a los entes territoriales.                                                                      
2. Solicitar capacitacion cuando se promulge nueva normatividad.                                                     
3. Actualizacion de formato N° E-DEAG-FR-077 , de certificacion ley 617 del 2000.
4.  Socializar con el ente territorial las incongruencias en la información reportada según los criterios del profesional.
5.  Verificar el cumplimiento de la incorporacion, ejecucion y destinacion sectorial de los  recursos del  SGP mediante el formato N° E-DAEG-FR-O74 y N°E-DAEG-FR-O75
6.Brindar un acompañamiento permanente a los municipios una vez dadas las observaciones sugeridas con el fin de garantizar reportes eficientes .
7.Realizar mesas de trabajo donde se expongan las experiencias y resultados de cada municipio que nos permita consolidar  la información. 
</t>
  </si>
  <si>
    <t xml:space="preserve">1. Notificar por escrito al ente territorial el error identificado.
2. Realizar la solicitud de la correción del error a través de una nota aclaratoria dirigida al ente territorial mediante correo electrónico.
3. Publicar en el portal Web de la Gobernación de Cundinamarca el informe de viabilidad financiera definitivo.
</t>
  </si>
  <si>
    <t>1. Se realizará un informe semestral de alertas con los avances del seguimiento al Plan de Desarrollo. 
2. Se realizarán observaciones o comentarios al reporte de metas del PDD en el instrumento definido.</t>
  </si>
  <si>
    <t>3. Se enviará al consejo de Gobierno infografia sobre el cumplimiento del Plan de Desarrollo Departamental y presentarla en los espacios solicitados.</t>
  </si>
  <si>
    <t>1. Se realizará la presentación de seguimiento trimestral. 
2. Se publicará la presentación de avance de PDD de forma trimestral.</t>
  </si>
  <si>
    <t>1. Se realizarán presentaciones de avance con los cortes solicitados por la alta dirección. 
3. Se enviará la presentación de avances del PDD solicitados por la alta dirección.</t>
  </si>
  <si>
    <t>Cada vez que el Departamento requiere la formulación de una política pública, los profesionales de la dirección de Políticas Públicas realizan revisión y seguimiento en Instancias, plan de trabajo , estrategia de divulgación , metodología de diagnóstico de la política pública , estructura de la política pública, alternativas de solución, análisis presupuestal,  plan de implementación, concepto al Documento Técnico de la Política Pública, de acuerdo con los procedimientos E-DEAG-PR-014 y  E-DEAG-PR-028, esto con el fin de llevar acabo el desarrollo de la formulación de política pública acorde a los lineamientos establecidos en el departamento, en caso de encontrar desviaciones en la formulación de la política o no pertinencia se informa al CODEPS con el fin de que esta instancia decida sobre la continuación o no del proceso. Como evidencia queda: Formatos  E-DEAG-FR-062 Justificación para la formulación de política pública y  E-DEAG-PR-089   Plan de trabajo para la Formulación de Políticas públicas, E-DEAG-PR-063 Formato Diagnóstico para la Formulación de Políticas Públicas , E-DEAG-PR-090  Formato Alternativas de solución en la formulación de la política pública , E-DEAG-PR-090  Formato Plan de implementación de la política pública, E-DEAG-PR-057 Formato Concepto al Documento Técnico de la Política Pública.</t>
  </si>
  <si>
    <t>El equipo de finanzas municipales trimestralmente realiza seguimiento a los municipios que en el Indicador Ley 617 quedaron en estado crítico y riesgos y aquellos que excedieron los límites del gasto en Consejo y Personeria con el fin de dar observaciones y sugerencias al ente territorial en los componentes que inciden en el indicador financiero. En caso de encontrar desviaciones se notifica a la alta dirección del Municipio.  Se deja como evidencia hoja de trabajo (excel)  y correos electrónicos, WhatsApp y control de asistencia.</t>
  </si>
  <si>
    <t xml:space="preserve">Mensualmente la Dirección de Gestión de la Inversión realiza seguimiento a los proyectos del Sistema General de Regalías, según la información registrada por las entidades ejecutoras de proyecto SGR en el aplicativo Gesproy; producto de este seguimiento, se realizan informes de alertas con el estado de reporte del proyecto en GESPROY con relación a la información actual. En caso de encontrar desviaciones se requiere a la entidad responsable del proyecto para la realización de mesas de trabajo que conlleven la subsanación de inconsistencias. Como evidencia se emiten informes de alertas, correos de compromisos, listados de asistencias entre otros. </t>
  </si>
  <si>
    <t xml:space="preserve">1. Realizar Mesas de trabajo con el equipo catalizador para hacer seguimiento a los compromisos establecidos en el plan de trabajo y establecer acciones de mejora. 
</t>
  </si>
  <si>
    <t xml:space="preserve">Semestralmente  la Dirección de infraestructura aplica el procedimiento "E-DEAG-PR-046 LINEAMIENTOS PARA LA GESTIÓN DE LA INFORMACIÓN GEOGRÁFICA Y ESTADÍSTICA" con el propósito de consolidar y disponer adecuadamente los datos e información que proviene de las Secretarías y entidades que conforman la administración departamental. En caso de desviaciones se registrán en el Formato validación información, se revisa y ajusta la estructuración de la información. Como evidencia quedan los registros de E-DEAG-FR-085 Identificación y caracterización de datos (metadatos) y la Información disponible en Geoportal mapasyestadisticas-cundinamarca-map.opendata.arcgis.com. </t>
  </si>
  <si>
    <t>Semestralmente la Dirección de Infraestructura de datos espaciales lidera el mantenimiento  licenciamiento y actualización de aplicaciones web de información geográfica con el fin de asegurar su disponibilidad. Como evidencia quedan reporte de operación de la plataforma y registros de mantenimientos. En caso de encontrar fallas en los mantenimientos se requiere al contratista por garantías.</t>
  </si>
  <si>
    <t xml:space="preserve">1. Capacitar a los equipos de las entidades que requieren la publicación de datos, en el diligenciamiento del formato E-DEAG-FR-085 Identificación y caracterización de datos (metadatos).
2. Socialización del procedimiento  "E-DEAG-PR-046 LINEAMIENTOS PARA LA GESTIÓN DE LA INFORMACIÓN GEOGRÁFICA Y ESTADÍSTICA" 
3. Realizar un informe semestral con el reporte del mantenimiento de las aplicaciones Web. </t>
  </si>
  <si>
    <t>Anualmente  los profesionales de la dirección de política pública realizan seguimiento a la implementación de las políticas públicas departamentales de acuerdo con el procedimiento E-DEAG-PR-028 “IMPLEMENTACIÓN MONITOREO Y EVALUACIÓN DE POLÍTICAS PÚBLICAS EN CUNDINAMARCA",  con el propósito de hacer control y seguimiento a el estado del arte, inclusión de política pública al plan de desarrollo, activación de instancias , revisión del plan operativo, implementación del plan de comunicaciones, análisis de centro de pensamiento y demás procesos que correspondan a los formatos E-DEAG-FR-091 “ Plan de Implementación de la Política Pública" , formatos E-DEAG-FR-072 plan operativo ,  E-DEAG-FR-070 Formato estado del arte de la política pública, garantizando que se ejecutes los lineamientos en implementación monitoreo y evaluación de las políticas públicas departamentales, en caso de encontrar desviaciones o incumplimientos al plan de operativo se informa al director o secretario para tomar medidas  pertinentes  informadas. Como evidencia queda: Formato Seguimiento a "E-DEAG-FR-091 Plan de Implementación de la Política Pública" y correos electrónicos.</t>
  </si>
  <si>
    <t>Con el fin de dar continuidad al proceso durante el año,  el equipo de profesionales de la Dirección de  Estudios Económicos y Políticas Públicas realiza trimestralmete el acompañamiento al Proceso de implementación, monitoreo y evaluación, esto con el propósito de lograr que cada uno de los líderes desarrollen de manera correcta  la información de los formatos que hacen parte del proceso de implementación monitoreo y evaluación  de las políticas públicas del departamento y de esta manera lograr fortalecer dichos procesos. En caso de encontrar desviaciones se envía un comunicado al equipo o quien lidera el proceso de la política pública para reprogramar el acompañmiento. Evidencias: Actas de Reunión, formatos.
 </t>
  </si>
  <si>
    <t>1. Realizar socializaciones sobre los procedimientos y métodos de implementación monitoreo y evaluación  de políticas públicas a los líderes del proceso en cada política Publica.
2. Realizar y socializar reporte de alertas de implementación de las políticas públicas en los casos requeridos.</t>
  </si>
  <si>
    <t>1. Realizar talleres de apropiación en lineamientos departamental de implementación de política pública.</t>
  </si>
  <si>
    <t>1. Realizar talleres sobre buenas prácticas  en formulación de  políticas públicas.</t>
  </si>
  <si>
    <t>Cada vez que la entidad departamental lo requiera, el equipo de profesionales de la Dirección de Políticas Públicas realiza una capacitación a los funcionarios de las entidades que se encargan de la formulación de la política pública, esto con el fin de lograr que cada uno de los líderes desarrolle de manera correcta los formatos que hacen parte de la formulación de las políticas públicas del departamento. En caso de encontrar desviaciones se envía una comunicación al equipo formulador de la entidad para reprogramar las capacitaciones. Evidencias: Plan de Asistencia técnica, Actas de Reunión</t>
  </si>
  <si>
    <t xml:space="preserve">El grupo de Finanzas Municipales 3 veces durante la vigencia,  realiza la validacion del cargue de la informacion en CUIPO y la certificacion LEY 617 DEL 2000  y/o ejecucion activa y pasiva emitida por la entidad territorial, con el objetivo de confrontar e identificar si existen inconsistencias y/o posibles errores previo al informe anual . En caso de encontrar desviaciones se procede a informar a los entes territoriales con el fin de que consideren las observaciones, todo soportado a traves de: circulares, correos electrónicos, WhatsApp, llamadas telefonicas, actualizaciones normartivas y demas leyes vigentes </t>
  </si>
  <si>
    <t xml:space="preserve">Anualmente el equipo de Finanzas Municipales realiza el informe de Viabilidad Financiera de los entes territoriales, con el fin de dar cumplimiento a la Ley 617 de 2000, para posterior presentación a la Asamblea Departamental, el Gobernador y los entes territoriales.  En caso de presentarse un error en el informe se procedera a realizar la corrección pertinente a traves de un comunicado y publicación en la página Web. Como evidencias quedan: Informe de Viabilidad Financiera, correos electrónicos con los comunicados y publicación en página Web. </t>
  </si>
  <si>
    <t>Débil interacción entre procesos del SIGC y la articulación  de los procedimientos transversales.</t>
  </si>
  <si>
    <t xml:space="preserve">1. Falencias en la interacción y comunicación entre la Dirección de Desarrollo Organizacional con los equipos de mejoramiento.
2. Débil conocimiento del SIGC como modelo de gestión
3. Falencia en la ejecución de las directrices de gestión.
4. Incumplimiento de los requisitos de las normas en las auditorias externas que se identifique una posible no conformidad mayor.  </t>
  </si>
  <si>
    <t>Posibilidad de pedida reputacional de la Gobernación  por falencia en la ejecución de las directrices de gestión ,debido a un bajo  desempeño del SIGC afectando el  mejoramiento institucional</t>
  </si>
  <si>
    <t xml:space="preserve">Los dinamizadores desigandos para cada proceso establecen o mantIenen una interaccion y comunicación como minimo una vez al mes con los procesos, a traves de correos, reuniones y solicitudes por Isolucion  teniendo como objetivo  impartir directrices de gestión para  fortalecer el desempeño institucional  del SIGC. Con ello minimizamos las falencias en la interación entre la Dirección de Desarrollo Organizacional y los equipos de mejoramiento de cada proceso. En caso que no se pueda tener interaccion por parte del dinamizador con su respectivo proceso su rol sera asumido por el dinamizador suplente. Como registro se tienen actas y listas de asistencia, correos electrónicos. </t>
  </si>
  <si>
    <t>40%</t>
  </si>
  <si>
    <t xml:space="preserve">Programación semestral del SIGC de acuerdo a los lineamientos de la dirección de desarrollo organizacional, los dinamizadores desarrollaran las actividades para dar cumplimiento a cada uno de los productos establecidos con acompañamiento de los equipos de mejoramiento de los procesos del SIGC. </t>
  </si>
  <si>
    <t>Oswaldo Ramos Arnedo</t>
  </si>
  <si>
    <t xml:space="preserve">Director DDO - Función Publica </t>
  </si>
  <si>
    <t xml:space="preserve">Dirección de Desarrollo Organizacional DDO - Función Publica </t>
  </si>
  <si>
    <t xml:space="preserve">El equipo asignado por la Direccion de Desarrollo Organizacional minimo 2 veces al mes realizá actividades de apropiación de conocimientos del SIGC,  con su respectiva prueba para disminuir la posibilidad de un bajo desempeño del SIGC en los procesos de la gobernación realizadas a traves de reuniones y capacitaciones . En caso de no poder realizarse dicha actividad se reprogramara e informará a todos los posibles participantes y se reprograma la divulgacion de los documentos generados. Como evidencia se tiene  listados de asitencia y el resultado de las pruebas. </t>
  </si>
  <si>
    <t>30%</t>
  </si>
  <si>
    <t xml:space="preserve">Ejecutará un programa de apropiación para la divulgación de los temas del SIGC a todos los integrantes de los equipos de mejoramiento y especializando a los funcionarios de la DDO para replicar y reforzar las diferentes aspectos del sistema de gestión.
Conformar  equipos temáticos especializados en los diferentes componentes de la caracterización del proceso. </t>
  </si>
  <si>
    <t xml:space="preserve">Los equipos de mejoramiento en compañía de los dinamizadores ajustan documentos propios del proceso cada vez que se necesite con el objetivo de mantener un optimo cumplimiento del Sistema Integral de Gestion y Control en pro de realizar una gestión más eficiente que beneficie a los usuarios finales. Esto se realiza a traves de mesas de trabajo que permitan informar los puntos a mejorar en cada documento a los dinamizadores por parte de los equipos de mejoramiento, permitiendo asi cargar el documento final en la plataforma  y su divulgación a los interesados.  En caso de no poder ajustar el documento por parte del dinamizador sera realizado por el dinamizador suplente. </t>
  </si>
  <si>
    <t xml:space="preserve">Aplicar el instructivo de Elaboración de Información Documentada E-PID-IN-002 para definir el diseño de las caracterizaciones de procesos.
Actualizar y publicar las caracterizaciones de los procesos del SIGC según lo establecido en el instructivo de Elaboración de Información Documentada E-PID-IN-002 </t>
  </si>
  <si>
    <t>La Direccion de Desarrollo Organizacional anualmente verifica el desempeño del SIGC a traves de un ciclo de auditorias internas con el objetivo de verificar las falencias y las oportunidades de mejora que se pueden presentar en los procesos.  En caso de no cumplir con las fechas estipuladas se reprogramara las auditorias. Como evidencia se tiene Programación del ciclo de auditorías, y el documento de su ejecución. el Documento relacionando resultado de auditoria SIGC</t>
  </si>
  <si>
    <t xml:space="preserve">Definir los mínimos entregables de la auditoria interna estableciendo la estructura de los productos finales. 
Ejecutar las auditorias internas con la evidencia correspondiente del ciclo de auditorias
Verificar de los productos entregables por el proveedor que ejecuta la auditoria.
</t>
  </si>
  <si>
    <t xml:space="preserve">El equipo de mejoramiento del proceso verifica semestralmente las acciones abiertas en las diferentes auditorias, cargadas en isolucion con el objetivo de hacer un cierre oportuno y darle cumplimiento a la mejora de los hallazgos identificados y disminuir el impacto de posibles hallazgos futuros. En caso de no realizarse la identificacion trimestralmente se reprogramara la reunion, como evidencia se tiene el cierre de acciones en la plataforma isolución </t>
  </si>
  <si>
    <t>25%</t>
  </si>
  <si>
    <t>Se verificara el estado las acciones abiertas en auditorias anteriores con disminuyendo el impacto de los hallazgos encontrados a traves de las revisiones al desempeño  y reportandolo a los lideres de proceso que tienen responsabilidad en los respectivos hallazgos. Verificando las evidencias en Isolucion de los soportes cargados, los comunicados y las actas de reunion</t>
  </si>
  <si>
    <t/>
  </si>
  <si>
    <t>Falta de participación de entes territoriales y actores públicos o privados  en los procesos de integración regional.</t>
  </si>
  <si>
    <t xml:space="preserve">Causa Raíz 1: Bajo reconocimiento de los entes territoriales sobre las ventajas y beneficios de los procesos de integración regional.
Causa Raíz 2: Baja articulación entre actores públicos y privados, para identificar proyectos y acciones conjuntas en temas de integración regional. 
</t>
  </si>
  <si>
    <t>Posibilidad de pérdida reputacional por la falta de participación de entes territoriales y  actores públicos o privados  en los procesos de integración regional, debido al bajo reconocimiento de los entes territoriales sobre las ventajas y beneficios de los procesos de integración regional y a la baja articulación entre los actores públicos y privados, para identificar proyectos y acciones conjuntas en temas de integración regional .</t>
  </si>
  <si>
    <t>El Asesor Despacho código 105 grado 09 o quien haga sus veces, convoca cada 3 meses a reunión a los Directores de Gestión e Integración Regional y Relaciones Intraterritoriales, y responsable de las acciones de comunicación de la Secretaría, para acordar y realizar seguimiento a las acciones de divulgación, comprensión y pedagogía para la implementación de la Región Metropolitana Bogotá – Cundinamarca, para  tal efecto se diligencia del Formato E-PID-FR-004 Acta de Reunión, el cual debe contener las estrategias, actividades propuestas, compromisos, responsables y avances de cada actividad. En caso de  modificación  de la estrategia, el asesor debe solicitar a los Directores mediante correo electrónico la actualización de las acciones a implementar para posterior aprobación de la Secretaria de Despacho. Evidencia: Propuesta acciones de divulgación, comprensión y pedagogía, mensajes enviados por correo electrónico, Formato E-PID-FR-004 Actas de Reunión, (en los casos que aplique).</t>
  </si>
  <si>
    <t xml:space="preserve">• Convocará a mesas de trabajo cada 3 meses con los Directores de Gestión e Integración Regional, Relaciones Intraterritoriales y responsable de las acciones de comunicación de la Secretaría, para acordar y hacer seguimiento a las acciones de divulgación, comprensión y pedagogía para la implementación de la Región Metropolitana Bogotá – Cundinamarca. Evidencia: Convocatoria y Formato E-PID-FR-004 Acta de Reunión.  
• Presentará en el comité directivo (cuando se requiera), las acciones de divulgación, comprensión y pedagogía estructuradas para su aprobación. Evidencia: Formato E-PID-FR-004 Acta de Reunión, Presentación Comité y Propuesta acciones de divulgación, comprensión y pedagogía para la implementación de la Región Metropolitana Bogotá – Cundinamarca, (en los casos que aplique).
• Realizará trimestralmente seguimiento a las acciones de divulgación, comprensión y pedagogía aprobadas en el comité directivo, con el fin de verificar su cumplimiento. Evidencia: Formato E-PID-FR-004 Acta de Reunión e Informes, (en los casos que aplique).
</t>
  </si>
  <si>
    <t xml:space="preserve">Diego Armando Aguirre Escobar </t>
  </si>
  <si>
    <t>Asesor Despacho código 105 grado 09</t>
  </si>
  <si>
    <t xml:space="preserve">Despacho </t>
  </si>
  <si>
    <t>Luz Patricia González Ávila
Secretaria de despacho</t>
  </si>
  <si>
    <t>No. 4088</t>
  </si>
  <si>
    <t xml:space="preserve">El Asesor Despacho código 105 grado 09 o quien haga sus veces, consolida trimestralmente la información relacionada con la participación del proceso de integración regional en espacios y actividades orientadas a la articulación con actores públicos y privados, en el formato de registro de reuniones, en el cual se evidencian las actividades ejecutadas, fecha, tema tratado, asistentes a la actividad y la línea de trabajo a la que pertenece la temática. La información se consolida a partir del registro de reuniones entregado por el Despacho de la Secretaría, la Dirección de Gestión e Integración Regional y la Dirección de Relaciones Intraterritoriales, y que debe ser remitido mediante correo electrónico al responsable dentro de los 5 días hábiles siguientes al cierre de cada trimestre. Si el resposanble de consolidar la información tiene observaciones, debe comunicarlas por este mismo medio. Evidencias: Formato E-PID-FR-004 Acta de Reunión, informe de análisis correspondiente. </t>
  </si>
  <si>
    <t xml:space="preserve">• Remitirán al responsable, dentro de los 5 días hábiles siguientes al cierre de cada trimestre, el Formato Registro de Reuniones debidamente diligenciado con la información de las actividades ejecutadas, fecha, tema tratado, asistentes a la actividad y la línea a la cual pertenece la temática. Evidencia: Formato Registro de Reuniones consolidado 
• Analizará trimestralmente la información relacionada con la participación de la entidad en espacios y actividades orientadas a la articulación con actores públicos y privados, donde se evidencia la gestión, articulación y ejecución de acciones conjuntas. Evidencia: Informe de análisis de reuniones. 
• Presentará trimestralmente en el Comité Directivo el análisis de la participación del proceso de integración regional en espacios y actividades orientadas a la articulación con actores públicos y privados. Evidencia: Formato E-PID-FR-004 Acta de Reunión y Presentación comité directivo, (en los casos que aplique).
</t>
  </si>
  <si>
    <t>Inaplicación o desconocimiento del manual de identidad institucional por parte los usuarios internos y grupos de interés</t>
  </si>
  <si>
    <t xml:space="preserve">Posibilidad de afectación reputacional generada de la imagen desfavorable institucional por parte de usuarios internos y grupos de interés, con motivo de la falta de articulación entre las áreas de la Gobernación de Cundinamarca en la aplicación de las directrices vigentes que pueden generar afectaciones a la imagen corporativa de la entidad. </t>
  </si>
  <si>
    <t>Reducir (mitigar)</t>
  </si>
  <si>
    <t>Profesional Universitario</t>
  </si>
  <si>
    <t xml:space="preserve">Asesor </t>
  </si>
  <si>
    <t>Prestación de asistencias técnicas que no satisfagan las  necesidades y la prestación del apoyo necesario para el fortalecimiento de las capacidades de los beneficiados</t>
  </si>
  <si>
    <t xml:space="preserve">Falencias en las metodologías y flujos de información del proceso </t>
  </si>
  <si>
    <t xml:space="preserve">Posibilidad de afectación reputacional por la prestación de asistencias técnicas que no satisfagan las  necesidades y la prestación del apoyo necesario para el fortalecimiento de las capacidades de los beneficiados, debido a falencias en las metodologías y flujos de información del proceso </t>
  </si>
  <si>
    <t>Anualmente el equipo de asistencia técnica designado por la dirección de seguimiento y evaluación de la secretaría de planeación socializa el procedimiento "M-AT-PR-001 FORMULACIÓN PLAN DE ASISTENCIA TÉCNICA" y el formato "M-AT-FR-001 Plan de Asistencia Técnica" con el fin de que las secretarías programen, consoliden y realicen seguimiento a las asistencias técnicas. Como evidencia se registra el plan anual de asistencia técnica. En caso de programación de asistencias no pertinentes se procede a requerir a la secretaría o dependencia para acordar los ajustes necesarios.</t>
  </si>
  <si>
    <t xml:space="preserve">1. Se actualizarán, de ser requerido, los procedimientos, guías o formatos del proceso.
2. Se Identificarán las necesidades de capacitación del proceso documental de AT.
3. Se Capacitara y socializara a los servidores públicos en los temas priorizados en el proceso de identificación de necesidades del proceso documental de AT.
</t>
  </si>
  <si>
    <t xml:space="preserve">4089
</t>
  </si>
  <si>
    <t>Trimestralmente cada integrante del equipo de mejoramiento realiza seguimiento al plan de asistencia tecnica de su secretaría con el proposito de determinar el cumplimiento del plan y verificar la percepción de la satisfacción del beneficiario. Como evidencia se deja el "M-AT-FR-005 Informe de Gestión de Asistencia Técnica", en caso de evidenciar desviaciones se informa al nivel directivo para la toma de decisiones.</t>
  </si>
  <si>
    <t>1. Se emitira circular con cronograma de reporte del Informe de Gestión del PAT.
2. Se enviarán correos electrónicos trimestralemente solicitando el envío del Informe de Gestión del PAT a cada dependencia. 
3. Se realizara socialización de infografia con resultados de asistencia técnica trimestral.</t>
  </si>
  <si>
    <t>Cada vez que no se satisfagan las necesidades de oportunidad en la asistencia técnica de los beneficiarios, el equipo designado de asistencia técnica de la dirección de seguimiento y evaluación notifica a la entidad que debe formular un plan de mejoramiento para fortalecer la oportunidad en la prestación del servicio. Como evidencia se deja el correo electrónico de notificación  y el insumo generado con la respuesta, en caso de evidenciar desviaciones se crea una oportunidad de mejora en Isolución.</t>
  </si>
  <si>
    <t>1. Se realizara mesa de trabajo con la entidad para evidenciar las falencias que ocasionaron el incumplimiento.
2. Se determinara el responsable de formular el plan de mejoramiento en los casos necesarios.</t>
  </si>
  <si>
    <t>Asistencias técnicas no prestadas en el tiempo, situación o medio que el usuario lo requiera</t>
  </si>
  <si>
    <t>Falencias en la articulación y coordinación en la ejecución del  plan de AT.</t>
  </si>
  <si>
    <t>Posibilidad de afectación  reputacional por  asistencias técnicas no prestadas en el tiempo, situación o medio que el usuario lo requiera debido a falencias en la articulación y cordinación en la ejecución del PAT.</t>
  </si>
  <si>
    <t xml:space="preserve">Anualmente el equipo de asistencia técnica designado por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</si>
  <si>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1. Emitir circular con cronograma de formulación del PAT para la vigencia.
2. Actualizar, de ser requerido, los procedimientos, guías o formatos del proceso.
3. Realizar comunicados, si se requiere, a las entidades que presentaron inconsistencias en la formulación inicial del PAT.</t>
  </si>
  <si>
    <t xml:space="preserve">4092
</t>
  </si>
  <si>
    <t xml:space="preserve">Trimestralmente el equipo de asistencia técnica designado por la dirección de seguimiento y evaluación de la secretaría de planeación realiza informe consolidado a la ejecución del plan de asistencia tecnica con el proposito de determinar el cumplimiento del plan y verificar la percepción de la satisfacción del beneficiario. Como evidencia se deja el "M-AT-FR-005 Informe de Gestión de Asistencia Técnica", en caso de evidenciar desviaciones se informa al nivel directivo para la toma de desiciones. </t>
  </si>
  <si>
    <t>1. Emitir circular con cronograma de reporte del Informe de Gestión del PAT.
2. Enviar correos electrónicos trimestralemente solicitando el envío del Informe de Gestión del PAT a cada dependencia. 
3. Socialización de infografia con resultados de asistencia técnica trimestral.</t>
  </si>
  <si>
    <t xml:space="preserve">Atrasos en la ejecución de las actividades definidas en los proyectos </t>
  </si>
  <si>
    <t>por Incumplimiento del plan operativo del proyecto, demoras en tramites administrativos internos y externos e insuficiente frecuencia en el seguimiento del avance financiero  y físico del proyecto.</t>
  </si>
  <si>
    <r>
      <t xml:space="preserve">Posibilidad  de afectación  económica y reputacional por  atrasos en la ejecución de  las actividades definidas en los proyectos, por Incumplimiento del plan operativo del proyecto, demoras en tramites administrativos internos y externos e </t>
    </r>
    <r>
      <rPr>
        <sz val="9"/>
        <color rgb="FFFF0000"/>
        <rFont val="Arial Narrow"/>
        <family val="2"/>
      </rPr>
      <t xml:space="preserve"> </t>
    </r>
    <r>
      <rPr>
        <sz val="9"/>
        <color theme="1"/>
        <rFont val="Arial Narrow"/>
        <family val="2"/>
      </rPr>
      <t>insuficiente</t>
    </r>
    <r>
      <rPr>
        <sz val="9"/>
        <color rgb="FFFF0000"/>
        <rFont val="Arial Narrow"/>
        <family val="2"/>
      </rPr>
      <t xml:space="preserve"> </t>
    </r>
    <r>
      <rPr>
        <sz val="9"/>
        <rFont val="Arial Narrow"/>
        <family val="2"/>
      </rPr>
      <t xml:space="preserve"> frecuencia en el seguimiento del avance financiero  y físico del proyecto.</t>
    </r>
  </si>
  <si>
    <t xml:space="preserve">El supevisor  convoca a comité Directivo del Proyecto  una vez por trimestre, con el fin de tomar decisiones para aprobar ajustes técnicos administrativos y presupuéstales,  necesarios para garantizar la correcta ejecución técnica y el logro de los objetivos del convenio, mediante el registro de los compromisos y avances en el acta del comité Directivo,  para el caso de falta de quorum deliberatorio el supervisor reprograma comité, como evidencia quedaran las actas de comité Directivo especificando el tema principal de la reunión. </t>
  </si>
  <si>
    <t xml:space="preserve">El supervisor del proyecto convoca a comité Directivo por correo electrónico,  de conformidad con lo solicitado por los miembros del comité  cada trimestre, previo a la reunión el supervisor revisa los  puntos principales a tratar en la reunión y consolida la información ajustada y revisada por el comité técnico, con el fin de prevenir que se presenten retrasos o interrupciones en la ejecución de los  proyectos, es allí donde toman decisiones, se aprueban ajustes técnicos, administrativos y presupuéstales,  necesarios para garantizar la correcta ejecución técnica y logro de objetivos del convenio; esta reunión se llevará a cabo por los miembros directivos de la Secretaría y el Operador, las decisiones tomadas son registradas en el acta de Comité Directivo, dejando definido el tema principal de la reunión. </t>
  </si>
  <si>
    <t>Magda Karina Gutiérrez Navarrete</t>
  </si>
  <si>
    <t>Despacho</t>
  </si>
  <si>
    <t>Secretaria del despaho</t>
  </si>
  <si>
    <r>
      <t xml:space="preserve">El supervisor del proyecto realiza el seguimiento de la ejecución de las actividades en comités  Técnicos  una vez por  trimestre, con el fin de verificar y ajustar  los avances del proyecto, mediante el registro del acta  de los  avances físicos y financieros, compromisos o reprogramaciones que se requieran; para el caso de falta de quorum, el supervisor reprograma comité, como evidencia quedara las actas de comité  Técnico, especificando el tema principal de la reunión. </t>
    </r>
    <r>
      <rPr>
        <sz val="9"/>
        <color theme="1"/>
        <rFont val="Arial Narrow"/>
        <family val="2"/>
      </rPr>
      <t xml:space="preserve">
</t>
    </r>
  </si>
  <si>
    <t>El supervisor del proyecto convoca a comités Técnicos una vez por trimestre  por correo electrónico,  con el fin  de prevenir y corregir  los retrasos en la ejecución física y financiera de los proyectos o el avance de los mismo, que son validadas de conformidad con la programación definida en el POA y los informes presentados por el operador, esta reunión se llevará  a cabo con los líderes del proyecto del operador, el supervisor, apoyos de SCTeI,   los avances,  cambios o ajustes que se dan se registran conforme a  la programación inicial del proyecto, el desarrollo de la reunión  son  redactas  junto con los compromisos y  en el acta del comité Técnico, dejando definido el tema principal de la reunión.</t>
  </si>
  <si>
    <t>El supervisor  ingresa a  las plataformas GESPROY (fuentes SGR) o  SPI -Sistema Proyecto de Inversión(Diferente fuente de Recursos)mensual, con el fin cargar la plantilla del mes de ejecución anterior, mediante el registro y validación de los avances físicos y financieros del convenio.  Para el caso en que se reporte alertas de la plataforma el supervisor deberá subsanar según lo requerido, como evidencia se obtiene el  Reporte de cambios de los Aplicativos GESPROY y SPI.</t>
  </si>
  <si>
    <t>El supervisor y el apoyo al convenio ingresa a las plataformas GESPROY o SPI  mensual, según corresponda la fuente de financiación, previo a esto realiza el alistamiento del archivo de Excel, con el fin de cargar la plantilla del mes de ejecución anterior, cada registro realizado en la plataforma puede llegar a ser preventivo o correctivo para los  casos en que el aplicativo GESPROY y el SPI reporte alertas de ajustes en cualquiera de las dos variables (físicas o financieras ); para esto el supervisor deberá subsanar según lo requerido, situación que se llevara a solicitar asistencia técnica por parte del personal de apoyo y asesoría del DNP, según sea la complejidad de la alerta, resultado del registro en la plataforma se obtendrá como evidencia el reporte de cambios que arroja el aplicativo GESPROY y SPI y que posteriormente se socializan en comité técnico.</t>
  </si>
  <si>
    <t>.
Por percepción negativa de la población beneficiaría</t>
  </si>
  <si>
    <t>Debido a desfases en la ejecución de cronogramas previstos para el cumplimiento de planes, programas y proyectos.</t>
  </si>
  <si>
    <t xml:space="preserve">Posibilidad de afectación reputacional por percepción negativa de los usuarios debido a desfases en la ejecución de cronogramas previstos para el cumplimiento de planes, programas y proyectos.
</t>
  </si>
  <si>
    <t>El secretario de despacho o quien haga sus veces, convoca a comités directivos quincenales. En dichos comités se realizara ell seguimiento, revision y validación de la implementación de los planes, programas y proyectos, mediante la revision de los compromisos previos consignados en las actas de las reuniones presenciales o virtiuales que permitan la toma de decisiones. Ante el incumplimiento de los compromisos se puede reprogramar y/o validar su continuidad. La evidencia son las actas de reunión y controles de asistencia.</t>
  </si>
  <si>
    <t>Presentar los cronogramas establecidos para el cumplimiento de los planes, programas y proyectos.</t>
  </si>
  <si>
    <t>Hermelinda López
Norma Constanza Solorzano
Julio Cesar Garcia
Nancy Patricia Venegas</t>
  </si>
  <si>
    <t>Secretarios de despacho</t>
  </si>
  <si>
    <t>Secretaría Desarrollo Social
Secretaría de La Mujer
Secretaría de Hábitat y Vivienda
Alta Consejería</t>
  </si>
  <si>
    <t>Secretario de Despacho</t>
  </si>
  <si>
    <t>El líder de calidad de cada dependencia realiza la consolidación de la información tanto del acta recibo a satisfacción del bien o servicio entregado o de la encuesta de asistencia técnica, según el caso, este análisis estadístico se realiza trimestralmete, para evaluar la satisfacción de la comunidad, por medio del diligenciamiento del acta o encuesta por parte de los supervisores o encargados de la asistencia técnica, en caso de que se presente percepciones negativas se debe hacer seguimiento oportuno mediante plan de mejora.</t>
  </si>
  <si>
    <t>Implementar comités primarios bimensual con el fin de realizar seguimiento a la ejecución de los cronogramas establecidos para las metas producto</t>
  </si>
  <si>
    <t xml:space="preserve">Realizar informe trimestral de seguimiento a la satisfacción de los usuarios </t>
  </si>
  <si>
    <t>Karen Hernandez
Karen Bachiller
Natalia Beltrán
Paula Gómez</t>
  </si>
  <si>
    <t>Líder de calidad</t>
  </si>
  <si>
    <t>Desconocimiento de las normas de transito por parte de los actores viales generando congestión en movilidad</t>
  </si>
  <si>
    <t>Falta de apropiación de las normas de tránsito y cultura por parte de los actores viales</t>
  </si>
  <si>
    <t xml:space="preserve">Posibilidad de afectación reputacional debido al desconocimiento de las normas de transito por parte de los actores viales generando congestión en movilidad por falta de apropiación y de cultura </t>
  </si>
  <si>
    <t>El director de poítica sectorial en coordonación con los gerentes encargados, son los responsables de programar y ejecutar eventos de difusion y socialización en el territorio departamental, en las fechas establecidas según programación, con el objetivo de dar a conocer las normas de transito a los diferentes actores viales para que sean apropiadas de la mejor manera; en la eventualidad en que no se pueda dar cumplimiento con la agenda, se volvera a programar para una nueva fecha, se deja como evidencia la programacion de la visita.</t>
  </si>
  <si>
    <t>Capacitar a los actores viales en cultura ciudadana dirigida a los diferentes grupos poblacionales del departamento, queda como evidencia informe de ejecución trimestral</t>
  </si>
  <si>
    <t>Oscar Eduardo Rocha</t>
  </si>
  <si>
    <t>Director de Política Sectorial</t>
  </si>
  <si>
    <t>Dirección de Política Sectorial</t>
  </si>
  <si>
    <t>Jorge Alberto Godoy Lozano</t>
  </si>
  <si>
    <t>6 de mayo de 2022</t>
  </si>
  <si>
    <t>31 de diciembre de 2022</t>
  </si>
  <si>
    <t>El gerente de seguridad vial, es el responsable de programar mediante bitacoras los puntos a intervenir en el departamento con periodicidad semanal, con el objetivo de gestionar el flujo vehicular y peatonal del sector; en la eventualidad en que no se pueda dar cumplimiento con la bitacora, se volvera a programar para una nueva fecha, se deja como evidencia la bitacora de programación.</t>
  </si>
  <si>
    <t>Contribuir en la mejora del flujo vehicular y peatonal a través de los gestores viales en los puntos establecidos previa programación, queda como evidencia informe de ejecución trimestral</t>
  </si>
  <si>
    <t>Edwin Gomez</t>
  </si>
  <si>
    <t>Gerente de seguridad vial</t>
  </si>
  <si>
    <t>Falencias en el empalme entre las concesiones</t>
  </si>
  <si>
    <t>Inoportuna prestación de los servicios con calidad.</t>
  </si>
  <si>
    <t>Posibilidad de afectación económico y reputacional por falencias en el empalme entre las concesiones que conlleva a la inoportuna prestación de los servicios con calidad</t>
  </si>
  <si>
    <t>El director de servicios es el responsable de realizar la supervision mensual del contrato vigente con la concesion encargadas de prestar los servicios, con el objetivo de garantizar el cumplimiento de las obligaciones contractuales; en caso de desviaciones, se requiere formalmente mediante correo institucional o mediante oficio y se deja como evidencia el informe de supervision / Correos electronicos u oficios</t>
  </si>
  <si>
    <t>Aplicar encuestas de satisfacción en las sedes operativas, dejando como evidencia el informe mensual análisis de las encuestas</t>
  </si>
  <si>
    <t>Andres Forero Linares</t>
  </si>
  <si>
    <t>Director de Servicios de la Movilidad</t>
  </si>
  <si>
    <t>Dirección de Servicios de la Movilidad</t>
  </si>
  <si>
    <t>3 de mayo de 2022</t>
  </si>
  <si>
    <t>La firma contratista es la responsable de adelantar mensualmente la interventoria del contrato que se ejecuta con la concesion para garantizar el cumplimiento de las obligaciones en atención a sus compromisos  contractuales; en caso de desviaciones, se requiere formalmente mediante correo institucional o mediante oficio y se deja como evidencia el informe de interventoria / Correos electronicos u oficios</t>
  </si>
  <si>
    <t>Consolidar la radicacion de PQRSDF relacionadas con los tramites ofrecidos, dejando como evidencia el informe mensual radicacion de PQRSDF de tramites</t>
  </si>
  <si>
    <t>El profesional universitario de la dirección de servicios de la movilidad solicita mensualmente a través de correo electronico institucional el reporte de la trazabilidad de los tramites radicados en cada una de las sedes operativas, para dar respuesta al informe de las salidas no conformes; cuando la informacion no es recibida dentro de los terminos establecidos o no corresponde a lo solicitado, se hace un nuevo requerimeinto quedando como evidencia el correo de la solicitud y el reporte entregado por la concesion.</t>
  </si>
  <si>
    <t>Socializar los informes de encuestas de satisfacción y de PQRSDF, dejando como evidencia actas de reunión mensuales</t>
  </si>
  <si>
    <t xml:space="preserve">Alto índice solicitudes por parte de los ciudadanos a través de los diferentes canales de radicación
</t>
  </si>
  <si>
    <t>Respuesta de las PQRSDF fuera de los términos establecidos por la ley</t>
  </si>
  <si>
    <t>Posibilidad de afectación reputacional por alto índice solicitudes por parte de los ciudadanos a través de los diferentes canales de radicación que conlleva a la Respuesta de las PQRSDF fuera de los terminos establecidos por la ley</t>
  </si>
  <si>
    <t>El profesional universitario de la dirección de servicios, es el responsable de realizar a traves del aplicativo mercurio el seguimiento semanal de las PQRSDF, con el objetivo de garantizar la respuesta oportuna a los ciudadanos en los terminos establecidos por la ley; en caso de desviaciones se solicita la justificación de la no respuesta, se deja como evidencia informe / notificación a las personas con PQRSDF mediante corrreo / actas de reunión</t>
  </si>
  <si>
    <t>Socializar por parte del líder del proceso a los directivos la situación periódica de las PQRSDF, se deja como evidencia actas de reunión mensual / socialización semanal mediante correo institucional.</t>
  </si>
  <si>
    <t>El director de servicios de la movilidad, es el responsable de programar cuando sea necesario mesas de trabajo o reuniones donde se evalue la eficiencia y eficacia en la respuesta oportuna de las PQRSDF; en caso de desviaciones se reprograma la mesa de trabajo, se deja como evidencia actas de reunión / notificaciones de compromisos</t>
  </si>
  <si>
    <t xml:space="preserve">Remitir trimestralmente a los entes de control la relacion de los funcionarios o contratistas que no den respuesta oportuna a las PQRSDF sin justa causa, se deja como evidencia la comunicación </t>
  </si>
  <si>
    <t>Secretario de Transporte y Movilidad</t>
  </si>
  <si>
    <t>Secretaría de Transporte y Movilidad</t>
  </si>
  <si>
    <t>Nicolas Garcia Bustos</t>
  </si>
  <si>
    <t>INCREMENTO DE DELITOS EN ALGUN TERRITORIO.</t>
  </si>
  <si>
    <t xml:space="preserve">Errores en la planeación para el seguimiento de los Convenios interadministrativos </t>
  </si>
  <si>
    <t xml:space="preserve">Posibilidad de afectación reputacional y económica por el desborde en la comisión  de especialidad por el incremento de delitos en el territorio. Esto debido a errores en la planeación para el seguimiento de los Convenios interadministrativos.
</t>
  </si>
  <si>
    <t xml:space="preserve">El director de seguridad y orden publico del departamento realiza seguimiento mensual con las estadisticas suministradas por el observatorio generando un informe que permita a las entidades y administraciones municipales tomar la medidas neesarias para preservación del orden publico en el territorio..  En caso de no ser posible la reunión para generar este informe se reprogramara a dispocisión de las partes. </t>
  </si>
  <si>
    <r>
      <t>Socializar mensualmente las estadisticas del observatorio de seguridad y convivencia a traves de un boletin via correo electronico o consejos de seguridad.
Elaborar cronograma de trabajo con consejo de seguridad provinciales.</t>
    </r>
    <r>
      <rPr>
        <sz val="9"/>
        <color rgb="FFFF0000"/>
        <rFont val="Arial Narrow"/>
        <family val="2"/>
      </rPr>
      <t xml:space="preserve"> </t>
    </r>
  </si>
  <si>
    <t>Juan Carlos Barragan.</t>
  </si>
  <si>
    <t>Director.</t>
  </si>
  <si>
    <t>Seguridad y Orden Publico</t>
  </si>
  <si>
    <t>Jose Leonardo Rojas.</t>
  </si>
  <si>
    <t>No aplicar los instrumentos para la identificacion de los riesgos e implementar acciones conjuntas con el fin de llevar a cabo un proceso social de gestion de riesgos  de desastres.</t>
  </si>
  <si>
    <t xml:space="preserve">No aplicar los instrumentos para la identificacion del riesgo  y no implementar las politicas para gestionar los riesgos como un eje transversal  para el fortalecimiento institucional  donde se  generen alertas tempranas  para fortalecer  la Gobernanza, a nivel departamental y municipal, interviniendo en los procesos que fortalezcan la resiliencia y la reducción del riesgo que nos permite reducir la pérdidas humanas, económicas, sociales y ambientales en el Departamento. El Plan de Gestion de Riesgos de Desastres es un instrumento planificador.  </t>
  </si>
  <si>
    <t xml:space="preserve">Posibilidad de afectación reputacional y economica por no aplicar los instrumentos y acciones del Plan Departamental de Gestion de Riesgos PDGRD que permiten una adecuada Gestion del Riesgo de desastres. Esto debido a una inadecuada planeción.  </t>
  </si>
  <si>
    <t>El director (a) de la Unidad Adminsitrativa Especial Para la de Gestion de Riesgos de Desastres  realiza  seguimiento mensual a traves  de los compromisos derivados de las  Actas Consejos Departamentales de Gestión de Riesgo y  de los  informes de visitas tecnicas en las  zonas de riesgo identificadas en el Departamento. En caso de no poder realizarlas, se reprogramara de acuerdo a las partes interesadas.</t>
  </si>
  <si>
    <t>Realizar el seguimiento y avance mensual del Plan de Accion Especifico,  temporada de lluvias-PAE,  en cumplimiento de los Decretos de Calamidad Publica y Urgencia Manifiesta.  Evidencias: Decretos, PLAN PAE, Circulares,Cuadro Consolidado de Visitas Tecnicas, proyectos de gestión de riesgo y contratos.
Periodicidad: Mensual.</t>
  </si>
  <si>
    <t>Gina Lorena Herrera Parra</t>
  </si>
  <si>
    <t>Directora de la UAEGRD</t>
  </si>
  <si>
    <t>Dirección de la UAEGRD</t>
  </si>
  <si>
    <t>Falla de la prestacion del servicio de llamadas de la linea 123 de cundinamarca</t>
  </si>
  <si>
    <t>Falta de mantenimiento preventivo y correctivo de la planta telefonica de la prestacion del serivicio de la linea de emergencias de cundinamarca</t>
  </si>
  <si>
    <t>Posibilidad de afectacion reputacional por fallas de la prestacion del servicico de llamadas por falta de mantenimiento preventivo y correctivo de la planta telefonica de la prestacion del servicio de la linea de emergencias</t>
  </si>
  <si>
    <t>El funcionario que se encuentre en la linea que evidencie fallas tecnicas reporta al asesor encargado para que solicite a traves de correo electronco al area de telematica de la policia de cundinamarca, para determinar el diagnostico tecnico y solucionar el problema y en caso de que el asesor encargado no pueda generar el reporte lo generara el tecnico operativo.</t>
  </si>
  <si>
    <t xml:space="preserve">Solicitar al area de telematica de la policia del departamento información del contrato de soporte y  mantenimiento de la planta telefonica en funcionamiento, con el objetivo de que al momento de notificar una falla la entidad cuente con un contrato de mantenimiento y soporte para solucionar el inconveniente.
Evidencia: correos electronicos de solicitud y respuesta y contrato de mantenimiento.
Periodicidad: Anual.
</t>
  </si>
  <si>
    <t>Yeison Rodrigo Mendez Mendez</t>
  </si>
  <si>
    <t>Secretaria de gobierno</t>
  </si>
  <si>
    <t xml:space="preserve"> Jose Leonardo Rojas</t>
  </si>
  <si>
    <t xml:space="preserve"> Proyecciones de recursos no acordes con la realidad.
</t>
  </si>
  <si>
    <t xml:space="preserve">Disminución, baja asignación, insuficiencia o demora en la asignación de recursos a la SEC.
</t>
  </si>
  <si>
    <t xml:space="preserve">Posibilidad  de interrupción en la prestación del servicio educativo en las Instituciones Educativas, debido a proyecciones de recursos no acordes con la realidad, implicando una baja asignación, insuficiencia o demora en la asignación de recursos a la SEC. </t>
  </si>
  <si>
    <t xml:space="preserve">El Director Administrativo y Financiero con base en la información suministrada por las demás Direcciones  realiza anualmente, el análisis y determina la fuente de financiación, (SGP y Recursos propios), con el fin de presentar la problemática a la Alta Dirección, para que a través de la Secretaría de Hacienda se autorice financiación. Si la solictud no es viable se presenta al Gobernador y a la Asamblea para su revisión y aprobación de traslado de recursos, la evidencia son los actos administrativos generados así como los informes a la alta gerencia. </t>
  </si>
  <si>
    <t xml:space="preserve">Realizar verificación de la ejecución presupuestal proyectada, los recursos disponibles en tesorería, PAC y los recursos asignados por CONPES, a las diferentes metas establecidas en el Plan de Desarrollo Departamental enfocadas a la SEC. Las evidencias son los informes trimestrales de las ejecuciones presupuestales, los informes de tesorería  y el PAC.   </t>
  </si>
  <si>
    <t xml:space="preserve">Derly Gonzalez Ariza </t>
  </si>
  <si>
    <t>Director Administrativo y Financiero</t>
  </si>
  <si>
    <t>Dirección Administrativa y Financiera</t>
  </si>
  <si>
    <t>Diciembre 31 de 2022</t>
  </si>
  <si>
    <t xml:space="preserve">Plan de Riesgos de Gestión #4117
</t>
  </si>
  <si>
    <t>Falta de mantenimiento adecuado.
Presupuesto insuficiente.</t>
  </si>
  <si>
    <t xml:space="preserve">No se cuenta con un plan actualizado que contenga la totalidad de los inventarios de la infraestructura educativa, para su control, administración, intervención y debida planeación.  </t>
  </si>
  <si>
    <t>Posibilidad de que la  infraestructura física sea insuficiente o inadecuada para la prestación del servicio educativo, por la falta de mantenimiento adecuado y presupuesto insuficiente; generando que no se cuente con un plan que contenga la totalidad de los inventarios actualizados de la infraestructura educativa, para su control, administración, intervención y debida planeación.</t>
  </si>
  <si>
    <t>El Director de Infraestructura y el equipo de profesionales de la Dirección conjuntamente con el Instituto de Infraestructura de Concesiones de Cundinamarca -ICCU, una vez al año o de acuerdo a las necesidades, definen y priorizan  las intervenciones a realizar en Infraestructura educativa de cada uno de los Municipios. Cuando no se cuente con disponibilidad presupuestal en la Secretaría de Educación, se gestionan proyectos ante la Nación o el Departamento. Como evidencia se tienen las comunicaciones con los rectores y alcaldes de los diferentes municipios, y los convenios suscritos por cada uno  de los ejecutores de los recursos.</t>
  </si>
  <si>
    <t xml:space="preserve">Realizar análisis de las encuestas y el diagnóstico de necesidades de infraestructura para la actualización del Plan de Infraestructura. </t>
  </si>
  <si>
    <t>Yohany Rodriguez Martinez / Juan Carlos Melo</t>
  </si>
  <si>
    <t>Director de Infraestuctura y equipo</t>
  </si>
  <si>
    <t>Dirección de Infraestructura Educativa</t>
  </si>
  <si>
    <t>Yohany Rodriguez Martinez</t>
  </si>
  <si>
    <t>Plan de Riesgos de Gestión #4119</t>
  </si>
  <si>
    <t>Realizar diagnóstico de la infraestructura educativa basados en las encuestas efectuadas con los rectores de las IED- Evidencia diagnóstico</t>
  </si>
  <si>
    <t xml:space="preserve">Cuando sucede una emergencia  se tiene previsto que el municipio socialice ante el Comité Municipal de Gestión del Riesgo,  para el estudio de la emergencia presentada con el fin de definir si cuenta o no con la capacidad de atención de respuesta.  En el evento que no se pueda atender, se solicita al departamento que a través de un contrato de emergencia con el ICCU, esta sea atendida en el menor tiempo posible. La evidencia de este control son los reportes que entrega el ICCU sobre el avance y ejecución de los proyectos. 
</t>
  </si>
  <si>
    <t>Realizar informe de serguimiento de los convenios ejecutados por emergencia a través del ICCU (infomes de seguimiento)</t>
  </si>
  <si>
    <t xml:space="preserve">El Director de Infraestructura y el equipo de profesionales de la Dirección realiza mensualmente la actualización de la basse  de datos del estado de la infraestructura educativa con el fin de contar con las novedades, necesidades y condiciones de la infraestructura. La evidencia es la base de datos con el estado de la infraestructura. </t>
  </si>
  <si>
    <t>Gestionar con la Dirección de Medios y Nuevas Tecnologías la creación de un modulo para la infraestructura en el aplicativo" Cundinamarca Siempre en Clase", con el fin mantener actualizadas las novedades de la infraestructura por parte de los rectores y de la Dirección de Infraestructura para viabilizar las intervenciones.</t>
  </si>
  <si>
    <t xml:space="preserve">Falta de difusión  de los programas y del procedimiento para el acceso a la  Educación superior por parte de las entidades convenio y la SEC.
</t>
  </si>
  <si>
    <t>Dificultades económicas para los desplazamientos y sostenimiento.</t>
  </si>
  <si>
    <t>Posibilidad de baja transición de los egresados de las instituciones educativas oficiales y privadas a la educación superior,  de acuerdo con las proyecciones,   debido a la falta de difusión  de los programas y del procedimiento para el acceso a la  educación superior por parte de las entidades con las cuales se sucriben los convenios y por la SEC; asi como las dificultades económicas para los desplazamientos y sostenimiento.  Esto ocasiona desconocimiento de los programas existentes para el acceso y permanencia a la educación superior.</t>
  </si>
  <si>
    <t>El  Director (a)de Educación Superior,  en coordinación con el Director de Medios y Nuevas Tecnologías bajo los lineamientos y apoyo del profesional de comunicaciones de la Secretaría de Educación, realiza la divulgación semestralmente, a través de la página web y los medios dispuestos para informar a la comunidad educativa sobre los requisitos para aplicar a las convocatorias. En caso de no tener la suficiente difusión o que no haya participación, se hace reunión con rectores por provincias y de deja evidencia a través de asistencia e informe de reuniónes virtuales o presenciales.</t>
  </si>
  <si>
    <t xml:space="preserve">Ampliar la publicidad a través de los medios dispuestos por la Gobernación, la Secretaría y por las Alcaldías para convocar a los estudiantes que cumplen las condiciones para aplicar a los programas. </t>
  </si>
  <si>
    <t>Natalia Andrea Forero M.</t>
  </si>
  <si>
    <t>Directora de Educación Superior</t>
  </si>
  <si>
    <t>Dirección de Educación Superior</t>
  </si>
  <si>
    <t xml:space="preserve">Plan de Riesgos de Gestión #4120
</t>
  </si>
  <si>
    <t>La Junta administradora del Fondo, sesiona cada tres  meses o extraordinariamente si se requiere, con el fin de evaluar los casos especiales generales, aprobar fechas de convocatorias, establecer criterios de financiación , entre otros para los postulados y beneficiarios de los programas de formación. Si el caso presentado no se resuelve ante  la junta, se le comunicará al aspirante quien podrá postularse para una nueva convocatoria. La evidencia son las actas de sesión de la Junta.</t>
  </si>
  <si>
    <t>Realizar seguimiento a las causas de la deserción y a los estudiantes que presentan problemas en la continuidad de los programas, para identificar acciones a realizar</t>
  </si>
  <si>
    <t xml:space="preserve">El Profesional Universitario o Especializado, realiza acompañamiento especial dos veces al año a las IED del Departamento, asiste a ferias universitarias virtuales o presenciales para realizar amplia divulgación de los programas de acceso y permanencia en la Educación Superior. En las actas de reunión se deja consignada la asistencia y el impacto que tuvo esta estrategia, en caso de encontrar que no hubo alta afluencia en la asistencia, se coordina con los rectores reuniones adicionales. Las evidencias son los actas y los registros de asistencia.
</t>
  </si>
  <si>
    <t>Modificar los cronogramas de convocatoria a los jovenes que desean ingresar a la Educación Superior para que cumplan con la totalidad de los requisitos exigidos para la misma.</t>
  </si>
  <si>
    <t>Información errada o incompleta por parte de las IED para la proyección de cupos.
Fallas en los controles por parte de la SEC al momento de realizar la aprobación de las proyecciones.
Fallas en la aplicación del procedimiento Proyección de cupos (M-PDE-C-PR-002)</t>
  </si>
  <si>
    <t>Errores en la planificación de cupos</t>
  </si>
  <si>
    <t>Posibilidad de no garantizar el acceso a las IED para los estudiantes del Departamento, debido a información errada o incompleta por parte de las IED para la proyección de cupos; fallas en los controles por parte de la SEC al momento de realizar la aprobación de las proyecciones y  fallas en la aplicación del procedimiento Proyección de Cupos (M-PDE-C-PR-002 ) generando errores en la planificación de los cupos.</t>
  </si>
  <si>
    <t>Los profesionales del equipo de matrícula realizan capacitación una vez al año a los directivos docentes y directores de núcleo sobre los lineamientos y las etapas del proceso de matrícula y la proyección de cupos para que las proyecciones se  hagan de manera efectiva. En caso de baja participación se cita a otra capacitación. Se dejan como evidencia  los listados de asistencia y las memorias.</t>
  </si>
  <si>
    <t xml:space="preserve">Realizar capacitación, con el fin de orientar  la adecuada ejecución de las etapas del proceso de matrícula y que la planeación se ajuste a la realidad de la IED. </t>
  </si>
  <si>
    <t>María  Anyul Fonseca/ Iris Valbuena/Wilson Huertas</t>
  </si>
  <si>
    <t>Directora de Cobertura</t>
  </si>
  <si>
    <t>Direccion de Cobertura</t>
  </si>
  <si>
    <t>Genny Milena Padilla</t>
  </si>
  <si>
    <t xml:space="preserve"> Plan de Riesgos de Gestión #4121</t>
  </si>
  <si>
    <t>Los profesionales del equipo de matrícula y los Directores de Núcleo, revisan una vez al año la proyección de cupos aprobada frente a la matrícula de la IED, con el fin de determinar la capacidad real de las IED y fijar las posibles alternativas para cumplir. Si se evidencian fallas en la información como solicitudes de cupos superiores a la capacidad, información no reportada o incompleta, se oficia a las IED dejando como evidencia esta comunicación.</t>
  </si>
  <si>
    <t>Realizar reuniones de verificación con los rectores y el equipo de matrícula, para realizar los análisis de la proyección de cupos y las estadísticas para determinar la capacidad de la IED y determinar acciones del periodo siguiente, con el fin de minimizar fallas en la siguiente vigencia</t>
  </si>
  <si>
    <t>Los profesionales del equipo de matrícula realizan capacitación una vez al año a los Directivos docentes y Directores de núcleo sobre los lineamientos y las etapas del proceso de matrícula y la proyección de cupos para que las proyecciones se  hagan de manera efectiva. En caso de baja participación se cita a otra capacitación. Se dejan como evidencia  los listados de asistencia y las memorias.</t>
  </si>
  <si>
    <t>Priorizar los municipios con alto número de matrícula y realizar los cruces de la información registrada en el SIMAT contra la matrícula real, con el fin de verificar que la oferta atienda la demanda.</t>
  </si>
  <si>
    <t>Profesional Universitario/Técnico Operativo</t>
  </si>
  <si>
    <t>Limitada capacidad para realizar visitas de control integral y/o realizar acompañamiento al total de los Establecimientos Educativos en el Departamento de Cundinamarca que lo soliciten.</t>
  </si>
  <si>
    <t xml:space="preserve"> Insuficiente personal calificado</t>
  </si>
  <si>
    <t>Posibilidad de tener baja cobertura del servicio de Inspección, Vigilancia y Control, debido a la limitada capacidad para realizar visitas de control integral y/o realizar acompañamiento al total de los Establecimientos Educativos en el Departamento de Cundinamarca que lo soliciten, a causa de insuficiente personal calificado.</t>
  </si>
  <si>
    <t>El Director del área de acuerdo al Plan Operativo Anual de Inspección y Vigilancia - POAIV- o al cronograma y a la demanda de visitas,  determina de manera trimestral aquellos establecimientos educativos que requieren ser visitados de manera presencial y los que pueden atenderse de manera virtual con el fin de atender la programación y la demanda.  Los Directores de Núcleo  realizan las visitas presenciales y virtuales, elaboran los informes  en donde consignan los compromisos de mejora y aspectos que no cumplan con los requisitos establecidos en las normas. En caso de que no se pueda efectuar la visita se reprograma. La evidencia es el plan que incluye la reprogramación de las visitas.</t>
  </si>
  <si>
    <t xml:space="preserve">Modificar el procedimiento de Lineamientos para la inspección, vigilancia y control de los establecimientos educativos (M-PDE-F-PR-003) actualizando los controles del riesgo. </t>
  </si>
  <si>
    <t>Hernán Medina González</t>
  </si>
  <si>
    <t>Dirección de Inspección, Vigilancia y Control</t>
  </si>
  <si>
    <t>José Aimer Ospina Vela</t>
  </si>
  <si>
    <t>Julio 29 de 2022</t>
  </si>
  <si>
    <t>Plan de Riesgos de Gestión #4122</t>
  </si>
  <si>
    <t>El Director de IVyC, realiza la solicitud anualmente, de acuerdo con la necesidad de personal para atender las actividades del área. En caso de que no se contrate al personal requerido, se programan las actividades de acuerdo con el personal disponible incluyendo la atención virtual. La evidencia es la programación de visitas definida en el Plan Operativo Anual de Inspección y Vigilancia - POAIV- y sus modificaciones.</t>
  </si>
  <si>
    <t xml:space="preserve">Gestionar la contratación de personal para la Secretaria de Educación con el fin de atender las funciones de la entidad </t>
  </si>
  <si>
    <t>Director de Inspección, Vigilancia y Control</t>
  </si>
  <si>
    <t>Octubre 31 de 2022</t>
  </si>
  <si>
    <t>Solicitar a Funcion Publica el estudio de cargas para la ampliación de la planta de personal en la Dirección</t>
  </si>
  <si>
    <t xml:space="preserve">Fallas en la revisión diaria de bandejas de Mercurio y SAC </t>
  </si>
  <si>
    <t xml:space="preserve">Falta de apropiación de los procedimientos que corresponden a cada subproceso.
</t>
  </si>
  <si>
    <t>Posibilidad de demora o baja  calidad en las respuestas de PQRS,  por fallas en la revisión diaria de bandejas de Mercurio y SAC,  por falta de apropiación de los procedimientos que corresponden a cada subproceso.</t>
  </si>
  <si>
    <t xml:space="preserve">El líder de Atención al Ciudadano, presenta semanalmente al comité directivo el listado de los contratistas que tienen PQRS vencidas, con el fin de que sean tramitadas inmediatamente. Si el contratista no aparece en este reporte, los correspondientes supervisores pueden proceder a efectuar el pago, de lo contrario deberán exigir al contratista el cumplimiento previo de esta obligación para efectuar el pago. La evidencia son las comunicaciones a los contratistas. </t>
  </si>
  <si>
    <t xml:space="preserve">Implementar alertas diarias en donde se reportan los funcionarios y contratistas con documentos por vencer y vencidos en las herramientas SAC y Mercurio. </t>
  </si>
  <si>
    <t>Aura Yamile Lizarazo</t>
  </si>
  <si>
    <t>Profesional Especailziado</t>
  </si>
  <si>
    <t>Subsecretaría</t>
  </si>
  <si>
    <t>José María Leiton</t>
  </si>
  <si>
    <t>Plan de Riesgos de Gestión (Indicadores)  #4123</t>
  </si>
  <si>
    <t xml:space="preserve">El profesional responsable del seguimiento al proceso de Atención al Ciudadano, realiza monitoreo diario de las PQRS allegadas a la SEC,  con el fin de informar a cada dependencia las PQRS por vencer y vencidas. Esta información se remite via correo eletrónico tanto a equipo directivo como a funcionarios y contratistas, para evitar que se materialicen las solicitudes por vencer y tramitar de manera inmediata los vencidos.  En caso de encontrar respuestas fuera de término,  se comunica al área responsable a través de correo electrónico. La evidencia son los correos electrónicos enviados.
</t>
  </si>
  <si>
    <t xml:space="preserve">Socializar las alertas  a través de correo electrónico al equipo directivo para la toma de medidas e implementación de acciones y a los funcionarios y contratistas reportados en la alerta. </t>
  </si>
  <si>
    <t xml:space="preserve">El profesional responsable del seguimiento al proceso de Atención al Ciudadano, elabora informes semanales de las PQRS recibidas, a tiempo, por vencer y vencidas, con el fin de verificar el estado de las PQRS recibidas al interior de la SEC. En caso de encontrar respuestas fuera de término, comunica al área responsable a través de correo electrónico. La evidencia es el correo electrónico con el informe semanal enviado. </t>
  </si>
  <si>
    <t xml:space="preserve">Presentar informes mensuales y trimestrales que incluyan el estado de las PQRS  durante lo corrido de cada periodo y enviarlo a los lideres de proceso y enlaces del equipo de mejoramiento. </t>
  </si>
  <si>
    <t xml:space="preserve">Deterioro de la convivencia escolar en las IED  por falta de fortalecimiento de las competencias socioemocionales
</t>
  </si>
  <si>
    <t>Retrazos en la solución a condiciones de amenazas a docentes en el ejercicio de sus funciones.
Provisión inoportuna de las vacantes.
Escaza capacitación del personal docente y directivo docente.</t>
  </si>
  <si>
    <t xml:space="preserve">Posibilidad de no mejora en la prestación del servicio  y calidad educativa en las Instituciones Educativas,  debido al deterioro de la convivencia escolar en las IED  por falta de fortalecimiento de las competencias socioemocionales; 
retrazos en la solución a condiciones de amenazas a docentes en el ejercicio de sus funciones,  provisión inoportuna de vacantes y escaza capacitación del personal docente y directivo docente.
</t>
  </si>
  <si>
    <t>El profesional de la Dirección de Calidad  a través de los profesionales de la dependencia realiza actividades durante el año relacionadas con la prestación de asistencias técnicas trimestrales en convivencia escolar, actualización de manuales de convivencias y activación de los Comites de Convivencia municipales, para contrarestar el deterioro de la convivencia escolar en las Instituciones Educativas. En caso que los niveles de convivencia escolar no mejoren se deteriora la calidad en la prestacipón del servicio, se realizaran visitas a las Intiuciones afectadas. La evidencia son las actas e informes.</t>
  </si>
  <si>
    <t>Activar la Red de Convivencia Escolar y planes de promoción y prevención mediante el Plan de convivencia escolar y  seguimiento a su ejecución.</t>
  </si>
  <si>
    <t>Leandro Javier Sarmiento Pedraza</t>
  </si>
  <si>
    <t>Director de Calidad Educativa</t>
  </si>
  <si>
    <t>Dirección de Calidad Educativa</t>
  </si>
  <si>
    <t>Plan de Riesgos de Gestión 4124</t>
  </si>
  <si>
    <t>El Director de Personal una vez recibe la solicitud del docente amenazado la revisa, reporta y establece la acción preventiva de la comisión de servicios a otra IED de acuerdo a la normatividad vigente y procede con el nombramiento del reemplazo, con el fin de no afectar el servicio educativo. En caso de que no lo puedan nombrar oportunamente se autoriza horas extras y se deja como evidencia la resolución del nombramiento y autorización de horas extras.</t>
  </si>
  <si>
    <t>Realizar seguimiento al proceso de amenazados versus  comunicación de comisión, nombramientos o autorización de horas extras y presentar informes.</t>
  </si>
  <si>
    <t>Edgar Excelino Mayorga</t>
  </si>
  <si>
    <t>Subdirector de Administración y Desarrollo</t>
  </si>
  <si>
    <t>Dirección de Personal de IED</t>
  </si>
  <si>
    <t>Cristina Paola Miranda Escalante</t>
  </si>
  <si>
    <t xml:space="preserve">El Director de Personal realiza el reporte de las vacantes definitivas al MEN (Sistema Maestro), para que realice la provisión de las mismas.  Los profesionales que realizan los nombramientos mantienen la información actualizada en un DRIVE y realizan seguimiento diario a la provisión de vacantes. En cuanto a las vacancias temporales se hace la escogencia para la provisión a través del aplicativo Cundinamarca Siempre en Clase. En caso de no realizarse el nombramiento oportunamente el Director de Personal autoriza el pago de horas extras. Como evidencia se conserva el reporte de vacantes y el Drive con el seguimiento 
</t>
  </si>
  <si>
    <t xml:space="preserve">Realizar cruces de información entre los aplicativos Cundinamarca Siempre en Clase  y el Drive y presentar informes de los resultados del cruce para la toma de acciones.  </t>
  </si>
  <si>
    <t xml:space="preserve">Mediante el Comite de Evaluación (los Directores de Calidad Educativa, Personal Docente de Instituciones Educativas, Cobertura educativa)  realizan el proceso de evaluación de desempeño  anualmente de los directivos docentes, y los rectores realizan el proceso con los docentes, con el fin de identificar los aspectos a mejorar en las competencias. De acuerdo con los resultados de las evaluaciones frente a los niveles de competencia requeridos,  se formulan los planes de formación.  La evidencia son los resultados de las evaluaciones y Plan territorial de capacitación.
</t>
  </si>
  <si>
    <t>Realizar análisis de los resultados de las evaluaciones de desempeño de docentes y directivos para la toma de decisiones y priorizar la formación en el Plan territorial de formación docente.</t>
  </si>
  <si>
    <t xml:space="preserve">Usuarios insatisfechos por la atención recibida a través de los diferentes canales de atención dispuiestos por la Gobernación de Cundinamarca.
</t>
  </si>
  <si>
    <t xml:space="preserve">1. Personal sin conocimiento actualizado sobre los procedimientos internos y uso adecuado del Software de la Gobernación de Cundinamarca      2. Muy baja adherencia a guías, manuales, procedimientos, tutoriales y protocolos establecidos por parte de los servidores públicos para la atención y solución de los trámites  y Opas, así como los requerimientos de los usuarios.
</t>
  </si>
  <si>
    <t xml:space="preserve">Posibilidad de afectación reputacional y económica  por usuarios insatisfechos por la atención recibida  debido al desconocimiento  de los procedimientos, trámites y Opas por parte del personal y su correcta aplicación.
</t>
  </si>
  <si>
    <t xml:space="preserve">El Director de Atención al Usuario, para el año en curso, asigna el personal necesario para formar a los servidores públicos y por prestación de servicios que atienden los canales presencial, virtual, y el telefónico sobre el cumplimiento y aplicación de  guías, manuales, procedimientos, tutoriales y protocolos establecidos para la debida atención de los usuarios.  En caso que no se puedan cumplir con el cronograma establecido se reprograma las capacitaciones. Evidencia: Control de asistencia </t>
  </si>
  <si>
    <t>1. Establecerá cronograma mensual  de capacitaciones y reinducciones en la aplicación del protocolo de atención al usuario, procedimientos del proceso a los servidores públicos y por prestación de servicios que atienden los canales virtual, presencial y telefónico. Evidencia: Cronograma mensual. 2. Realizará cada vez que haya capacitación una evaluación pre-test y pos-test a los servidores públicos y por prestación de servicios que atienden los canales virtual, presencial y telefónico  para conocer el afianzamiento de los conocimientos y adherencia. Evidencia: Resultado de evaluación.3. Elaborará y presentará informe mensual comparativo con los resultados obtenidos, generando estrategias para mejorar la gestión del conocimiento  y mitigando la posibilidad de multas económicas  por los entes de control. Evidencia:  informe mensual comparativo con los resultados obtenidos</t>
  </si>
  <si>
    <t xml:space="preserve">Cristobal Sierra </t>
  </si>
  <si>
    <t>Director de Atención al Usuario</t>
  </si>
  <si>
    <t>Dirección de Atención al Usuario</t>
  </si>
  <si>
    <t>Cristobal Sierra Sierra Director de Atencion al Usuario</t>
  </si>
  <si>
    <t>No. 4069</t>
  </si>
  <si>
    <t xml:space="preserve">PQRSDF no contestados en tiempo de ley </t>
  </si>
  <si>
    <t xml:space="preserve">1. Mal direccionamiento de las PQRSDF recibidas 2. Falta de apropiación de los funcionarios y contaratistas para la contestación de las PQRSDF los tiempos definidos por la vigente.  3. Falta de capacitación de los funcionarios y contratistas  en el seguimiento y control a las PQRSDF. 4. Deficiencia en la clasificación y  parametrización en tiempo de respuesta de las PQRSDF del sistema Mercurio </t>
  </si>
  <si>
    <t>Posible afectación reputacional, económica y demandas jurídicas, o acciones de tutela por la no contestación de las PQRSDF dentro de los tiempos de respuesta establecidos por la ley vigente (ley 1755 de 2015 y decreto 491 2020)</t>
  </si>
  <si>
    <t>El Director de Atención al Usuario,para el año en curso,  asigna servidor público y por prestación de servicios para realizar seguimiento y control a la contestación de las PQRSDF en tiempos de ley,  socializando  los resultados del indicador de oportunidad en la respuesta en la reunión mensual de administradores; En caso que no se pueda cumplir con el cronograma establecido se reprograma las  reunión.  Evidencia: Informe mensual y trimestral, acta  de reunión en la cual se registran las acciones correctivas, preventivas o de mejora que deben ser adoptadas por las diferentes dependencias centralizadas de la Gobernación, para alcanzar la meta establecida en el indicador</t>
  </si>
  <si>
    <t>1.Realizará seguimiento y control a la contestacion de las PQRSDF en tiempos de ley, a través de  informes mensuales y trimestrales , socializando los resultados del indicador de oportunidad en la respuesta en la reunion mensual de administradores de PQRSDF. Evidencia:  Informe mensual y trimestral 2. Elaborará cronograma de las reuniones mensuales para la vigencia 2022. Evidencia: Cronograma de Reuniones 3. Realizará acta en la cual se registran las acciones correctivas, preventivas o de mejora que  deben ser adoptadas  por las direfentes dependencias centralizadas de la Gobernacion. Evidencia: Acta de reunión. 4. Elaborará y publicará el informe del indicador de oportunidad en la respuesta en el SIGC Isolucion y página web de la Gobernación.Evidencia. Informe del Indicador.5 Remitir trimestralmente relación de los funcionarios y contratistas que incumplieron la contestación de las PQRSDF en tiempos de ley a los Secretarios de Despacho , para que realicen la gestión correspondiente de acuerdo a la  Circular 014 de 2022 de la Secretaría General, Evidencia: Relación de Funcionarios y Contratistas 6. Solicitará a la Secretaría de las Tic's a través de correo institucional,  la parametrización en el sistema de gestión documental Mercurio de los  tiempos de respuestas ajustandolo a la ley 1755 de 2015 y el decreto ley 491 de marzo de 2020.  Evidencia: Oficio y correo enviado a la Secretaría de las Tic.</t>
  </si>
  <si>
    <t>No.4071</t>
  </si>
  <si>
    <t>El Director de Atención al Usuario, para el año en curso, asigna al personal idóneo necesario para realizar  informe semanal del estado de las PQRSDF pendientes de contestación en tiempo y fuera de tiempo y  las dependencias realicen seguimiento y control a la contestación oportuna de las mismas. En caso  de no enviar el informe semanal, se consolidará la informacion siendo remitida en la siguiente semana.  Evidenvia: Informe Semanal y correo institucional a los administradores de PQRSDF</t>
  </si>
  <si>
    <t xml:space="preserve">1. Elaborará y remitirá  a través de correo institucional a los administradores de PQRSDF informe semanal del estado de las PQRSDF pendientes de contestación en tiempo y fuera de tiempo. Evidencia: Informe semanal de PQRSDF 2.Convocará a los funcionarios y contratistas encargados de las PQRSDF que presentan vencimientos, capacitando sobre la importancia del cumplimiento y solicitarles responder las solicitudes pendientes. Evidencia:  actas de las reuniones de seguimiento y las capacitaciones. </t>
  </si>
  <si>
    <t>El Director de Atención al Usuario, para el año en curso,  asigna al personal idóneo necesario  para verificar diariamente  la radicación de las comunicaciones oficiales recibidas en el canal presencial y su correcto direccionamiento, antes de  digitar y publicar las imágenes, generar  informe mensual de seguimiento al cumplimiento del procedimiento de radicación realizado por los servidores públicos asignados a esta área con el fin de mejorar la calidad del procedimiento de radicación, digitalización y publicación de imágenes. En caso de no realizarse  el seguimiento diario se verifica las radicaciones erradas a través del Sistema de Gestión Documental Mercurio. Evidencia:  Informe Mensual</t>
  </si>
  <si>
    <t>1. Verificará a diario  la radicación de las comunicaciones oficiales recibidas en el canal presencial y su correcto direccionamiento, antes de digitar y publicar las imágenes. Evidencia: Informe diario 2. Elaborará informe mensual de seguimiento al cumplimiento del procedimiento de radicación realizado por el personal idoneo asignado a esta área generando estrategias para mejorar la radicación. Evidencia: Informe mensual , publicación de los resultados del indicador de comunicaciones oficiales externas recibidas en Isolucion.</t>
  </si>
  <si>
    <t>El Director de Atención al Usuario, para el año en curso, asigna personal idóneo necesario para realizar capacitación y reinducción  mensual o cuando se requiera (por el  ingreso de personal nuevo al area de radicación), servidores públicos y por prestación de servicios encargados de la radicación y direccionamiento de las PQRSDF,  para apropiar el procedimiento de radicación mejorando el direccionamiento de la documentación recibida. En caso de no realizarse las capacitaciones, se reprogramarán.  Evidencia: Control de asistencia.</t>
  </si>
  <si>
    <t xml:space="preserve">1. Realizará capacitación mensual y/o cuando se requiera, a servidor público y por prestación de servicios encargados de la radicación y direccionamiento de las PQRSDF y otras comunicaciones oficiales externas recibidas, Evidencia: actas de las capacitaciones realizadas. 2. </t>
  </si>
  <si>
    <t xml:space="preserve">
Canales dispuestos por la Gobernación de Cundinamarca  para la atención al usuario  no son sean suficientes para  cubrir la demanda.
</t>
  </si>
  <si>
    <t>1. Usuarios que no son atendidos por la insuficiencia de canales de atención dispuestos por la Gobernación de Cundinamarca para los diferentes tramites, servicios o inquietudes de los ciudadanos. 2. Desconocimiento por parte del ciudadano, de los canales de atención al usuario dispuestos por la Gobernación de Cundinamarca.  3.  Insuficiencia de Talento Humano asignado de manera constante para que opere los diferentes canales de atención al usuario de la Gobernación de Cundinamarca 4. No se brinda una atención de buena calidad a través de los canales establecidos para la atención al usuario.</t>
  </si>
  <si>
    <t>Posible afectación reputacional por que los canales dispuestos para la atención de los usuarios no son suficientes para cubrir la demanda de los ciudadanos para poder realizar sus trámites o solicitudes sin tener que desplazarse al punto presencial de atención dispuesto en la Gobernación de Cundinamarca y no se brinda una atención de buena calidad.</t>
  </si>
  <si>
    <t xml:space="preserve">El Director de Atención al Usuario, para el año en curso, asigna personal idoneo necesario  para realizar el seguimiento y control mensualmente a la implementación de la ventanilla única virtual, recopilando información de las diferentes acciones realizadas para optimizar  la ejecución de los trámites registrados en la ventanilla única virtual, en coordinación con la Secretaria de las Tic's. en caso de no lograr la optimización de la ventanilla única virtual, se reforzarán los demás canales virtuales. Evidencia:  Informe mensual de las actividades realizadas y  de los avances. </t>
  </si>
  <si>
    <t>1. Realizará mensualmente  seguimiento y control  a la implementación de la ventanilla única virtual. Evidencia. Acta de reunión,2. Recopilará cuando se determine, la  información de las diferentes Secretarías en la ejecución de los trámites registrados en la ventanilla única virtual, coordinando con la Secretaria de las Tic's. Evidencia Informe de tramites por secretaria 3. Elaborará actas de las reuniones realizadas con las diferentes Secretarías que tienen trámites registrados en la ventanilla única virtual. Evidencia: Acta de reuniones</t>
  </si>
  <si>
    <t>No. 4076</t>
  </si>
  <si>
    <t>El Director de Atención al Usuario asigna personal idoneo necesario  para realizar mensualmente la difusión a los ciudadanos  de los diferentes canales de atención al usuario dispuestos por la Gobernación de Cundinamarca en las actividades de desconcentración del servicio (ferias virtuales), y redes sociales de la entidad,en caso de no realizarlas,  se actualizará la información referente a los canales de atención  en la página web de la Gobernación. Evidencia:  informe mensual con las piezas publicitarias y publicaciones en el micrositio</t>
  </si>
  <si>
    <t>1, Realizará mesualmente, la difusion  en las actividades de desconcentracion del servicio (ferias virtuales), página web, y redes sociales de la  Gobernación de Cundinamarca   a los ciudadanos  de los diferentes canales dispuestos para su atención. Evidencia. Informe Mensual</t>
  </si>
  <si>
    <t>Errores en la radicación y  direccionamiento de las comunicaciones oficiales externas recibidas.</t>
  </si>
  <si>
    <t xml:space="preserve">
1. Personal sin conocimiento actualizado sobre los procedimientos internos y uso adecuado del sistema de gestión documental Mercurio de la Gobernación de Cundinamarca 2. Se radican y direccionan comunicaciones oficiales recibidas de manera errada.                                                                                                                                                                                                                                     3. Alta rotación de personal en actividades internas y cargo del proceso de radicación y direccionamiento de las comunicaciones oficiales externas recibidas
</t>
  </si>
  <si>
    <t>Posible afectacion económica y reputacional debido a la  radicacion errada de las comunicaciones oficiales externas recibidas, lo que ocasiona reprocesos y demoras en la contestacion de las PQRSDF y demás comunicaciones.</t>
  </si>
  <si>
    <t xml:space="preserve">El Director de Atención al usuario, para el año en curso, asigna personal idóneo necesario para  realizar capacitaciones y reinducciones mensuales sobre el procedimiento de radicación, digitalizacion y direccionamiento de las comunicaciones oficiales recibidas a los servidores públicos y por prestación de servicios, que desarrollan este procedimiento.  Reprogramar las capacitaciones o reinducciones que no se puedan realizar de carácter inmediato. Evidencia:  acta con registro fotográfico sobre la actividad realizada </t>
  </si>
  <si>
    <t>1. Realizará capacitaciones y reinducciones mensualmente  sobre el procedimiento de radicación, digitalizacion y direccionamiento de las comunicaciones oficiales recibidas a los servidores públicos y por prestación de servicios que desarrollan este procedimiento.  Evidencia: Control de asistencia.</t>
  </si>
  <si>
    <t>No. 4079</t>
  </si>
  <si>
    <t xml:space="preserve">El Director de Atención al Usuario, para el año en curso, asigna personal idoneo necesario , diariamente, en el área de radicación  del  Centro Integrado de Atención al Usuario, garantizando tiempo completo de atención al usuario en los horarios establecidos, se tendrá como  plan de contingencia un servidor público o por prestación de servicio, que lo reemplace  en caso fortuitio que un servidor o contratista no pueda asistir de acuerdo a la programación,  Evidencia: cronograma semanal. </t>
  </si>
  <si>
    <t>1. Asignará personal idoneo para realizar  los procedimientos de radicación, digitalización y publicación de imágenes en el  Centro Integrado de Atención al Usuario-CIAU,  garantizando tiempo completo de atención a los usuarios en los horarios establecidos. Evidencia:Comunicado del Director con programación semanal  2. Diseñará  plan de contingencia para cubrir el horario de atención de manera continua. Evidencia:  Comunicado del Director con programación semanal, incluido personal de contigencia.</t>
  </si>
  <si>
    <t xml:space="preserve">El Director de Atención al Usuario, para el año en curso, asignará  personal idoneo y necesario para realizar seguimiento mensual  a la aplicación y eficacia del plan de contingencia ante caídas del sistema de gestión documental mercurio, registrando  la información en la bitácora diseñada para tal fin. En caso de no diligenciar la bitácora se solicitará información de las fallas registradas en el sistema de gestión documental mercurio a la Secretaría de las Tic's. Evidencia: Actas. </t>
  </si>
  <si>
    <t>1. Realizará seguimiento mensual  a la aplicación y eficacia del plan de contingencia ante caídas del sistema de gestión mercurio, Evidencia: seguimiento mensual  a la aplicación. 2 .Registrará  la información en la bitácora y elaboración de actas de la caída del sistema de gestión documental Mercurio. Evidencia:  Actas y Bitácora 3. Elaborará informe mensual por cada radicador donde se detalle el incumplimiento al indicador de comunicaciones oficiales externas recibidas. Evidencia: Informe mensual. 4. Generará estrategia encaminada a mitigar el incumplimiento de las 2 horas en la publicación de imágenes. Evidencia:  Acta de reunión.</t>
  </si>
  <si>
    <t>Los proyectos estructurados y ejecutados desde las dependencias no están alineados al PETIC (Plan Estratégico de Tecnologías de Información y Comunicaciones</t>
  </si>
  <si>
    <t>1.PETIC desactualizado.
2.Falta de conocimiento y apropiación por parte de los directivos y funcionarios del sector central de la Gobernación de Cundinamarca acerca  del Plan Estratégico PETIC</t>
  </si>
  <si>
    <t>Posibilidad de afectación económica y reputacional por no existir una estrategia de institucionalización y apropiación del PETIC debido al desconocimiento y falta de patrocinio de la alta dirección</t>
  </si>
  <si>
    <t>Se conformo el equipo de trabajo de las direcciones de la Secretaría de TIC con el fin de apoyar labores de actualización del PETIC de acuerdo a un plan de trabajo, realizando reuniones semanales virtuales para revisar los avances a los compromisos asignados, cuando no se cumplen los compromisos pactados o no participa todo el equipo debido a otras tareas asignadas se retroalimentara  las sesiones  a través de las evidencias de actas de reunión y notas de reunión.</t>
  </si>
  <si>
    <t>Realizar seguimiento al avance de cumplimiento de etapas del plan de trabajo para la actualización del PETIC, estableciendo porcentajes para los entregables de cada fase. Evidencia: Plan de Acción con el porcentaje de avance de acuerdo al cumplimiento de cada fase del plan de trabajo, actas de entrega de cada fase.</t>
  </si>
  <si>
    <t xml:space="preserve">Edwin César Gaviria Montañez </t>
  </si>
  <si>
    <t>Gerente de la PMO</t>
  </si>
  <si>
    <t>Wilson René Clavijo</t>
  </si>
  <si>
    <t xml:space="preserve">Cada vez que finalice una fase de  la elaboración del PETIC y se tengan los productos se realizará un acta de finalización y entrega, que se socializará con los delegados de cada una de las secretarías, con el fin de mantener informado a los interesados el avance de la actualización del PETIC.  Evidencia: acta de finalización de fase
</t>
  </si>
  <si>
    <t xml:space="preserve">Programar dentro de la mesa tematica de Gobierno Digital la socialización del avance y la importancia del PETIC a los directivos de las dependencias. </t>
  </si>
  <si>
    <t xml:space="preserve">Andres Fernando Roldan Niño </t>
  </si>
  <si>
    <t xml:space="preserve">Director </t>
  </si>
  <si>
    <t>Gobierno Digital</t>
  </si>
  <si>
    <t>Que no se implemente la  política de Gobierno Digital en la Gobernación de Cundinamarca</t>
  </si>
  <si>
    <t>1.Baja apropiación institucional de la Política de Gobierno Digital.
2.No se implementan procesos y procedimientos internos seguros y eficientes a través del fortalecimiento de las capacidades de gestión de tecnologías de información.
3.No se impulsa el desarrollo de iniciativas de proyectos de territorios y ciudades inteligentes.
4. No se habilitan ni mejora la provisión de Servicios Digitales de confianza y calidad basado en la ley de transparencia.
5.Falta de empoderamiento de los ciudadanos a través de la consolidación de un Estado Abierto.</t>
  </si>
  <si>
    <t>Posibilidad de afectación económica y reputacional por no implementar la política de Gobierno Digital en la Gobernación debido a baja apropiación institucional y no disponibilidad de servicios ciudadanos digitales.</t>
  </si>
  <si>
    <t>1.El director de Gobierno Digital convoca semestralmente la Mesa Temática de Gobierno Digital, con la participación de los enlaces de las dependencias del sector central, con el fin de dar los lineamientos en lo que respecta a las actividades en el marco de la implementación de la Política de Gobierno Digital. Se tiene como base los resultados de la medición del FURAG del año inmediatamente anterior. Se deja como evidencia lo tratado en las actas de reunión, y se realiza seguimiento y monitoreo a los compromisos pactados.  Cuando un compromiso no se cumpla se hace un requerimiento al responsable.</t>
  </si>
  <si>
    <t>En las reuniones mensuales de la dirección de Gobierno Digital hacer mención de los compromisos de las mesas tematicas para que se busquen soluciones y se establezcan compromisos.
Evidencia: Actas de reunión de la dirección de Gobierno Digital</t>
  </si>
  <si>
    <t xml:space="preserve">Diego Mauricio Mendieta Martinez </t>
  </si>
  <si>
    <t>Dirección Gobierno Digital</t>
  </si>
  <si>
    <t>2.El profesional Universitario semestralmente realiza el registro de avance de la implementación de la Arquitectura TI a través del formato A-GT-FR-092 Matriz de Medición y Avance de Habilitadores, con el fin de medir el avance y cumplimiento de la política. De acuerdo a los resultados se realizan los planes de acción correspondientes. En caso de no cumplirse algún compromiso de la planificación, se aplica el ciclo PHVA del procedimiento Gobierno Digital.</t>
  </si>
  <si>
    <t>1.Implementar el procedimiento o guía de visitas técnicas TIC para teletrabajo. Evidencia: Documentación controlada de visitas técnicas TIC para teletrabajo en Isolución.
2.Documentar el procedimiento o guía de Recolección de residuos electrónicos. Evidencia: Documentación controlada de Recolección de residuos electrónicos en Isolución.
3. Elaborar la especificación de requerimientos para implementar la automatización de las hojas de vida TIC de Municipios</t>
  </si>
  <si>
    <t xml:space="preserve">1. Elsy Elena Martinez Bustamante 
2. Myriam Rocio Menjura Rodríguez 
3.Elsy Elena Martinez Bustamante </t>
  </si>
  <si>
    <t>1. Profesional Especializado
2. Profesional Especializado
3. Profesional Especializado}</t>
  </si>
  <si>
    <t>1.30/08/2022
2.30/08/2022
3.30/06/2022</t>
  </si>
  <si>
    <t>3.1 El profesional Universitario anualmente impulsará iniciativas de proyectos de territorios y ciudades inteligentes a través de la implementación y seguimiento de un semillero de jóvenes emprendedores TIC del departamento, iniciando con el contrato de desarrollo de capacidades en TIC a jóvenes de la región buscando soluciones tecnológicas, lo anterior se documentará con las actas de reunión, informes de ejecución, y de no cumplirse las actividades y obligaciones se realizarán las reuniones y procedimientos contractuales respectivos para que se cumpla con el contrato. 
3.2 El profesional universitario y contratista designado realizan  semestralmente un monitoreo de las convocatorias vigentes a nivel nacional, internacional y regional relacionadas con proyectos TIC, el propósito es que el Departamento de Cundinamarca participe y gestione recursos para el desarrollo de los mismos, evidenciando en un informe semestral de monitoreo donde se relacionan todos los proyectos revisados y la justificación que se debe considerar para participar o no. Meta 215.</t>
  </si>
  <si>
    <t xml:space="preserve">Gobierno Digital </t>
  </si>
  <si>
    <t xml:space="preserve">4.La Secretaría de buen Gobierno como líder funcional  junto con la dirección de Gobierno Digital como líder técnico ofrecen un portal web actualizado y disponible, que garantiza los servicios digitales de confianza y calidad para los ciudadanos  de acuerdo a la resolución de estandares de acceso, seguridad digital y datos abiertos #1519 de 2020 y la ley de transparecia y acceso a la información pública #1712 de 2014, revisando funcionalmente el diligenciamiento anual de la matriz ITA (Indice de transparencia y acceso a la información) articulado con las diferentes dependencias del nivel central y a nivel técnico un  profesional universitario supervisa mensualmente los contratos de webmaster y soporte técnico del portal web durante su periodo de ejecución para verificar la implementación y cumplimiento  de dicha resolución en el portal web institucional de la Gobernación de Cundinamarca nivel central, haciendo seguimiento, evidenciandolo a través de actas de reuniones e informes de seguimientos, de no cumplirse la actualización del certificado de seguridad para los sistemas  se solicita anualmente a los administradores técnicos su actualización. </t>
  </si>
  <si>
    <t xml:space="preserve">Cumplir con las recomendaciones técnicas de la valoración de la matriz ITA a través de un plan de acción con compromisos para la dirección de Gobierno Digital de acuerdo a los recursos asignados.
Evidencia: Implementación de las recomendaciones del Plan de acción de la matriz ITA. </t>
  </si>
  <si>
    <t xml:space="preserve">Cristian Ricardo Ochoa Guio </t>
  </si>
  <si>
    <t>Contratista Web Master</t>
  </si>
  <si>
    <t>El profesional Universitario trimestralmente mide el  Indicador de Eficacia en Asistencias Técnicas, que permite revisar la percepción de las capacitaciones ofrecidas, diseñadas con el fin de llegar a los ciudadanos con el conocimiento necesario y así guiarlos hacia la participación dentro de un estado abierto, en caso de presentarse confusiones en el manejo de dicho concepto, se fortalecerán los temas necesarios al personal perteneciente a las diferentes dependencias del nivel central, alcaldías y en general quienes conformen el equipo de atención al ciudadano</t>
  </si>
  <si>
    <t xml:space="preserve">1.Promover y realizar procesos de formación dirigido a los ciudadanos en general, relacionados con transparencia y acceso a la información pública y datos abiertos. Evidencia: Consolidado de capacitaciones TIC. Meta 214.
2. Revisar procedimiento de Administración técnica de sistemas de información y/o servicios corporativos junto con el de Mesa de ayuda para analizar la pertinencia de la inclusión del registro de las capacitaciones, que se  realicen de estos servicios, con el fin de que se incluya en la gestión del tema de uso y apropiación de TIC
 </t>
  </si>
  <si>
    <t>1.Carlos Alfonso Trujillo Londoño 
2. Gloria del Pilar León Velásquez</t>
  </si>
  <si>
    <t>1.Profesional Universitario
2. Profesional Especializado</t>
  </si>
  <si>
    <t>1.Gobierno Digital 
2. Sistemas de Información y Aplicaciones</t>
  </si>
  <si>
    <t>1.Andres Fernando Roldan Niño 
2. John Alexander Silva Vega</t>
  </si>
  <si>
    <t>1.08/04/2022
2.08/04/2022</t>
  </si>
  <si>
    <t>1.30/11/2022
2.30/11/2022</t>
  </si>
  <si>
    <t>Falta de la aplicación del procedimiento Gestión de Proyectos TIC.</t>
  </si>
  <si>
    <t>Falta apropiación en la aplicación del procedimiento de Gestión de Proyectos TIC por parte de las dependencias una vez se ha dado la viabilidad de proyecto TIC por parte de la Secretaría de TIC.</t>
  </si>
  <si>
    <t>Posibilidad de afectación económica y reputacional al planear y ejecutar proyectos con componente TIC que no apliquen el procedimiento Gestión de Proyectos TIC debido a la falta de apropiación y utilización en todas sus etapas del aplicativo diseñado para este fin.</t>
  </si>
  <si>
    <t>El Gerente de Proyecto de cada dependencia cada vez que se genere un proyecto con componente TIC, es quien estructura su definición y planificación, así como también hace seguimiento a la ejecución y cierre a través del sistema Gestión de Proyectos TIC que se encuentra integrado con el sistema documental Mercurio, dejando las respectivas evidencias de los entregables en cada fase, lo cual permite dar aplicación al procedimiento Gestión de Proyectos TIC del proceso Gestión Tecnológica, la definición de un proyecto surge cada vez que existan la necesidad y los recursos. Cuando un Gerente no aplique todos lo lineamientos del procedimiento se les envía una comunicación informando la necesidad de aplicarlo.</t>
  </si>
  <si>
    <t>Inclusión de la Gestión de Proyectos TIC en el sistema Supervisa.(Análisis de lo que se va incluir, análisis de los resultados del seguimiento a través de Supervisa) Evidencia: Inclusión del tema Gestión de Proyectos TIC en el aplicativo Supervisa.</t>
  </si>
  <si>
    <t>Edwin César Gaviria Montañez Equipo de trabajo:Equipo PMO,  Marlon Sierra.Baquero</t>
  </si>
  <si>
    <t>Enviar oficio cada trimestre recordando la utilización del aplicativo Gestión de proyectos TIC. Evidencia: Oficio a las dependencias que se les ha viabilizado proyectos TIC.</t>
  </si>
  <si>
    <t>Edwin César Gaviria Montañez</t>
  </si>
  <si>
    <t>Puede suceder que el hardware y software base presenten fallas o inconvenientes que no permitan su correcto funcionamiento.</t>
  </si>
  <si>
    <t xml:space="preserve">1.Obsolescencia tecnológica del 85% de la infraestructura del procesamiento, almacenamiento y respaldo del datacenter principal
2.Falta de la elaboración e implementación de los planes de Análisis de Impacto en el Negocio- BIA,  Plan de Recuperación ante Desastres - DRP  y el Plan de Continuidad de Negocio -BCP
3.Pérdida del fluido eléctrico interno
</t>
  </si>
  <si>
    <t>Posibilidad de afectación económica y reputacional  por que el hardware y   software base presenten fallas o inconvenientes por obsolescencia tecnológica que no permitan su correcto funcionamiento debido a la capacidad de procesamiento, almacenamiento limitada y falta de planes de continuidad del negocio.</t>
  </si>
  <si>
    <t>En el mes de noviembre de cada vigencia los administradores del datacenter principal y alterno entregan al director de Infraestructura un consolidado de requerimientos presupuestales para la siguiente vigencia donde se detallan las necesidades de infraestructura Tecnológica, con una proyección estimada de recursos financieros con el fin de garantizar la operación, sostenibilidad, crecimiento y actualización de los servicios tecnológicos. En la mayoria de casos se excluyen necesidades por falta de recursos financieros.</t>
  </si>
  <si>
    <t>Reemplazar la infraestructura obsoleta por infraestructura actualizada considerando las nuevas opciones tecnológicas disponibles en el mercado, lineamientos MINTIC y de acuerdo a la asignación de recursos por la alta dirección.
Evidencia: Contratación de las adquisiciones o servicios externos de infraestructura.</t>
  </si>
  <si>
    <t>Yury Alexander Riveros Villalba</t>
  </si>
  <si>
    <t>Direccción de Infraestructura</t>
  </si>
  <si>
    <t xml:space="preserve">El supervisor del contrato del Arquitecto de Infraestructura mensualmente realiza seguimiento de los avances a través de los informes de supervisión y el informe de actividades del contratista que permiten monitorear el alcance en cuanto a las necesidades del Departamento de Cundinamarca para la elaboración del diagnostico de los planes de Análisis de Impacto en el Negocio- BIA,  Plan de Recuperación ante Desastres - DRP  y el Plan de Continuidad de Negocio -BCP, cuando los compromisos no estan de acuerdo al adecuado desarrollo del contrato el supervisor toma las acciones necesarias.
</t>
  </si>
  <si>
    <t>Mantener los contratos durante cada vigencia de soporte para los sistemas de funcionamiento y operación de las UPS que soportan el fluido electrico en el Datacenter principal, supervisados por funcionarios de la Secretaría de TIC - Dirección de Infraestructura, evidenciando los mantenimientos en informes del proveedor, cuando exista un suceso o  falla de los sistemas dependiendo la criticidad, el contratista debera atender a la mayor brevedad posible.</t>
  </si>
  <si>
    <t>Puede presentarse interrupción en los servicios que soportan los sistemas de información o servicios corporativos.</t>
  </si>
  <si>
    <t xml:space="preserve">1.Falta de apropiación del conocimiento para dar continuidad a los servicios de los sistemas o servicios corporativos
2.No existen profesionales con las competencias técnicas o servicios de soporte para administrar y garantizar la disponibilidad de las plataformas (bus, bizagi, portal web, java, SAP, bases de datos, entre otros) y sistemas de información de las dependencias.
3.Desactualización u obsolescencia de los sistemas de información o servicios corporativos.
</t>
  </si>
  <si>
    <t>Posibilidad de afectación económica y reputacional por presentarse interrupción en los servicios que soportan sistemas de información o servicios corporativos debido a la baja apropiación del conocimiento, la capacidad disponible y la continuidad de los servicios de soporte y mantenimiento.</t>
  </si>
  <si>
    <t>El director de cada dependencia que tenga sistemas de información designa un funcionario o contratista a través de un oficio como administrador técnico y funcional para que aplique el procedimiento Administración de sistemas de información o servicios corporativos los registros de la administración los define el procedimiento y la ejecución de las actividades se realiza cada vez que se requiera, en caso que un sistema no tenga administrador, se debe hacer la designación por parte del área funcional.</t>
  </si>
  <si>
    <t>1.Comunicar a dependencias sobre la importancia de la aplicación del procedimiento Gestión del Desarrollo e Implementación de Sistemas - TIC.
Evidencia: comunicación a las dependendencias.
2. Verificar material disponible de cursos funcionales de SAP para implementar en el sistema Moodle
Evidencia: Informe de resultados de la verificación de cursos.
3. Comunicar a las dependencias sobre la importancia de la continuidad del soporte y mantenimiento de los sistemas de información a su cargo.</t>
  </si>
  <si>
    <t>1.Jonh Alexander Silva Vega
2. Laura Amelia Garcia Celis 
3. Jonh Alexander Silva Vega</t>
  </si>
  <si>
    <t>1.Director 
2. Profesional Especializado
3.Director</t>
  </si>
  <si>
    <t>Sistemas de Información</t>
  </si>
  <si>
    <t>1.15/07/2022
2. 30/10/2022
3. 15/08/2022</t>
  </si>
  <si>
    <t>El supervisor designado por el área jurídica de la Secretaría en cada vigencia, supervisa la contratación  de especialistas que apoyan  la administración y/o labores técnicas de los sistemas de información, servicios corporativos y bases de datos, con el fin de dar continuidad a los servicios TIC; cuando la contratación no cubre el tiempo necesario, el supervisor justificará la necesidad de la adición y prorroga cuando existan recursos financieros para hacerlo.</t>
  </si>
  <si>
    <t xml:space="preserve">Revisar el procedimiento de administración técnica de sistemas de sistemas de información y/o servicios corporativos para definir el lineamiento de repositorio de evidencias para los informes técnicos de los contratistas. Evidencia: Información documentada en isolucion </t>
  </si>
  <si>
    <t>1. Gloria del Pilar León Velásquez</t>
  </si>
  <si>
    <t>Jonh Alexander Silva Vega</t>
  </si>
  <si>
    <t>Cada administrador de sistemas de información o servicios corporativos de las dependencias cada vez que requiera establecer, determinar o evaluar el estado de un sistema o servicio, cuenta con el instrumento de valoración de obsolescencia "Plan de manejo de sistemas de información  obsoletos o inactivos  A-GT-FR-055" que se encuentra disponible para sistemas de información o servicios corporativos, de tal manera que pueda hacer uso como soporte para estructurar nuevas implementaciones o incorporación de tecnología.  En caso de que un sistema se encuentre obsoleto o inactivo y no se ha evaluado su estado, el director de la dependencia debe solicitarlo al administrador.</t>
  </si>
  <si>
    <t>1. Revisar el instrumento junto con la dirección de sistemas de información y socializarlo. Evidencia: Información documentada 
2. Actualización del catalogo de los sistemas de información con el estado actual de las dependencias. Evidencia: Información documentada</t>
  </si>
  <si>
    <t>1. Nohora Consuelo Peña Mora 
2. Rubiel Camelo Basabe</t>
  </si>
  <si>
    <t>1. Profesional Especializado
2. Profesional Universitario</t>
  </si>
  <si>
    <t>1.30/11/2022
2. 30/11/2022</t>
  </si>
  <si>
    <t>Puede suceder que los equipos de usuario final no cumplan con las caracterísitacas minimas para trabajar en el dominio corporativo.</t>
  </si>
  <si>
    <t>1. Podría pasar que exista instalación de software no controlado por parte del usuario final. 
2. Falta de planificación del  mantenimiento preventivo de los computadores de usuario final
3. Obsolescencia del 95% de equipos de usuario final.</t>
  </si>
  <si>
    <t>Posibilidad de afectación económica y reputacional debido a que los equipos de usuario final no cumplen con las caracterísitacas minimas para trabajar en el dominio corporativo y no se pueda utilizar para todas  las funcionalidades de los sistemas de información o servicios corporativos.</t>
  </si>
  <si>
    <t>Cada vez que se va realizar una instalación de algún tipo de software, el técnico de la mesa de Ayuda aplica la guía de chequeo de alistamiento de equipos código A-GT-GUI-010, dentro de la cual contiene los pasos que se deben tener en cuenta para un alistamiento básico y adecuado de un equipo, con la configuración del usuario con el perfil  standard, cuando se requiere un software adicional,  el usuario debe proporcionar la respectiva justificación y el licenciamiento para que pueda ser instalado, toda instalación genera un número de ticket  debidamente documentado con lo realizado en el servicio, en el sistema Aranda  que apoya el procedimiento de Gestión de Incidentes y requerimientos de servicio Mesa de Ayuda TIC. Cuando un usuario desee instalar software por cuenta propia no podrá hacerlo teniendo en cuenta que se encuentra restringido por la configuración del usuario.</t>
  </si>
  <si>
    <t>Revisar y actualizar la  guía de chequeo de alistamiento de equipos código A-GT-GUI-010.
Evidencia: Guía pubicada en Isolución.</t>
  </si>
  <si>
    <t>Samuel Murcia Murcia</t>
  </si>
  <si>
    <t>Dirección de Infraestructura</t>
  </si>
  <si>
    <t>Yury Alexander Riberos Villalba</t>
  </si>
  <si>
    <t>El coordinador de la Mesa de Ayuda, en el mes de diciembre de cada vigencia, entrega un informe "consolidado de obsolescencia de equipos de usuario final" elaborado con la información técnica de la CPU de cada equipo de usuario final,  al director de Infraestructura con el propósito de proyectar presupuesto para la actualización de los equipos del nivel central de la Gobernación de Cundinamarca. En la mayoria de casos se excluyen necesidades por falta de recursos financieros.</t>
  </si>
  <si>
    <t>Reemplazar la infraestructura de usuario final obsoleta por infraestructura actualizada considerando las nuevas opciones tecnológicas disponibles en el mercado y de acuerdo a la asignación de recursos por la alta dirección.
Evidencia: Contratación de las adquisiciones o servicios externos de infraestructura.</t>
  </si>
  <si>
    <t xml:space="preserve">
En la vigencia se elabora un cronograma de mantenimiento preventivo de equipos de usuario final para la sede administrativa del nivel central de la Gobernación de Cundinamarca, con el propósito de hacer una programación de la labor para cada dependencia, en cada mantenimiento se aplica la Guía de Chequeo de Alistamiento de Equipos y se genera un ticket de mantenimiento preventivo de equipo que queda documentado con lo realizado en el servicio, en el sistema Aranda que apoya el procedimiento de Gestión de Incidentes y requerimientos de servicio Mesa de Ayuda TIC.  Semanalmente se realiza monitoreo del avance del cronograma, en caso de que ocurra un desfase en la programación se adicionará tiempo para esta labor.</t>
  </si>
  <si>
    <t>Puede suceder que no se brinde adecuadamente el servicio de conectividad en los municipios a través de las soluciones de la Autopista Digital Cundinamarca ADC</t>
  </si>
  <si>
    <t xml:space="preserve">1. Falta de continuidad en los servicios de mantenimiento y soporte de la ADC y del servicio de internet con terceros.
2. Falta de Continuidad de los servicios por robo de los equipos en los nodos de las ADC.
3.Podría pasar que la aplicación de los procedimientos establecidos sea inadecuada para la ADC, por no cumplir con los perfiles técnicos requeridos.
4. Obsolescencia de infraestructura tecnológica y de red de la ADC.
</t>
  </si>
  <si>
    <t>Posibilidad de afectación económica y reputacional por que no se brinde adecuadamente el servicio de conectividad en los municipios a través de las soluciones de la Autopista Digital Cundinamarca ADC debido a Falta de continuidad en los servicios de mantenimiento y soporte de la ADC y terceros.</t>
  </si>
  <si>
    <t>El director de infraestructura tecnológica anualmente gestiona la realización de los contratos durante cada vigencia de soporte y mantenimiento del servicio de Internet para el funcionamiento y operación de las dos estrategias de Conectividad, supervisados por funcionarios de la Secretaría de TIC - Dirección de Infraestructura, evidenciando los mantenimientos en informes del proveedor, cuando exista un suceso o  falla de los sistemas dependiendo la criticidad, el contratista debera atender a la mayor brevedad posible.</t>
  </si>
  <si>
    <t>Los técnicos de la ADC cuando hay disponibilidad de elementos de seguridad y vigilancia en el sitio de almacenamientos del stock de repuestos de la ADC, realizan la instalación de cámaras y encerramientos para la vigilancia y protección de los equipos ubicados en los nodos de la ADC, de acuerdo a la aplicación del procedimiento de Visita técnica ADC, cuando se presenta robo de los equipos que estan amparados con póliza del departamento, se realiza el reporte de acuerdo al proceso de Gestión de Recursos Físicos para que sean recuperados por el procedimiento de Aseguramiento e Indemnización de Bienes.</t>
  </si>
  <si>
    <t xml:space="preserve">Reforzar la estructura de los encerramientos de los nodos de la ADC. Evidencia: informe de actividades del contratista </t>
  </si>
  <si>
    <t xml:space="preserve">1. Yury Alexander Riveros Villalba </t>
  </si>
  <si>
    <t>Director de Infraestructura Tecnológica</t>
  </si>
  <si>
    <t>Dirección Infraestructura Tecnológica</t>
  </si>
  <si>
    <t xml:space="preserve">Realizar jornada de reinduccióny sensibilización en procedimientos del proceso de Gestión Tecnológica, seguridad y salud en el trabajo y actividades técnicas de la ADC. Evidencia: Acta de reunión - Listado de asistencia. </t>
  </si>
  <si>
    <t xml:space="preserve">
Erika Natalia Jaramillo -  Equipo de trabajo: Claudia Patricia Chavez Fernandez  y  Alejandro Olarte Carrillo </t>
  </si>
  <si>
    <t>Profesional Universitario
Técnico Operativo
Profesional Universitario</t>
  </si>
  <si>
    <t>Continuar con la elaboración del informe de obsolescencia tecnológica de la ADC. Evidencia : informe de obsolescencia.
Reemplazo de infraestructura networking en 5 torres de comunicaciones. Evidencia: Acta de instalación de equipos</t>
  </si>
  <si>
    <t xml:space="preserve">1. Hernán Rodríguez Guevara 
2. Alejandro Olarte Carrillo </t>
  </si>
  <si>
    <t>1. 30/09/2022
2. 30/09/2022</t>
  </si>
  <si>
    <t>Desactualización de procesos y procedimientos que afectan la operación y conllevan a ejecución incorrecta frente a las normas.
El incumplimiento de la gestión del SG-SST y los requisitos emitidos por los entes gubernamentales de control pueden ocasionar multas, incumplimientos y hasta una responsabilidad penal por parte de la Gobernación de Cundinamarca.</t>
  </si>
  <si>
    <t>Falta de actualización permanente de los cambios normativos que afectan la gestión del SG-SST</t>
  </si>
  <si>
    <t>Posibilidad de perdida reputacional por sanciones en el incumplimiento de la gestión del SG-SST y  la implementación de los lineamientos normativos  debido a la falta de actualización de la matriz de requisitos legales aplicables</t>
  </si>
  <si>
    <t>La asesora Juridica de la Dirección de Desarrollo Humano y el equipo SST trimestralmente recibe asesoria con consultores externos para validar la actualización de la matriz de requisitos legales mediante mesas de trabajo generando actas de reunión donde se evidencian los compromisos para la edición del documento que compila la normativa del proceso . En caso de encontrar normatividad desactualizada la asesora juridica procede a solicitar mediante correo electronico a los asesores externos la información faltante para poder cargar la matriz de identificación de requisitos legales en el plan de trabajo de SST en el aplicativo Isolución.</t>
  </si>
  <si>
    <t>Se Solicitara un informe trimestral sobre actualización de los requisitos legales al consultor externo</t>
  </si>
  <si>
    <t>Catalina Gonzalez Segura</t>
  </si>
  <si>
    <t>Director Desarrollo Humano</t>
  </si>
  <si>
    <t>Dirección Desarrollo Humano</t>
  </si>
  <si>
    <t>Paula Susana Ospina-Secretaria de la Función Pública</t>
  </si>
  <si>
    <t xml:space="preserve"> de Riesgos de Gestión #4097
</t>
  </si>
  <si>
    <t xml:space="preserve">La asesora Juridica de la Dirección de Desarrollo Humano y el equipo SST trimestralmente verifica la normatividad legal vigente en Seguridad y Salud en el Trabajo para asegurar que todos los requisitos legales aplicables que han sido emitidos en el periodo se encuentren registrados en la matriz correspondiente, Se revisan los requisitos consignados en el archivo y se comparan con las normas legales aplicables divulgadas  por fuentes confiables como el Ministerio de trabajo, ARL Positiva, en caso de encontrar requisitos desactualizados, derogados  o que hagan falta se edita la matriz y se registra la modificación en el cuadro de Control de cambios del archivo </t>
  </si>
  <si>
    <t xml:space="preserve">Se actualizara la Matriz de identificación de requisitos legales trimestralmente </t>
  </si>
  <si>
    <t>El dinamizador del proceso realiza seguimiento trimestral al indicador de requisitos legales garantizando que la matriz se encuentra actualizada y con las evidencias de cumplimiento  registrandolo en la revisión de desempeño del proceso y en el aplicativo isolución, si se evidencia que no hay ejecución de las normas mediante los medios oficiales de comunicación de la Gobernación se solicita a las dependecnias responsables alleguen la información para el cargue en el aplicativo Isolución</t>
  </si>
  <si>
    <t>Se realizara la revisión por la alta dirección del desempeño del proceso de manera Trimestral</t>
  </si>
  <si>
    <t>El equipo de mejoramiento del proceso SST revisa mensualmente el plan de Trabajo donde se realiza el seguimiento al componente legal y demas actividades del Sistema de Gestión de la Seguridad y Salud en el Trabajo, consignando en el archivo de seguimiento del  plan de trabajo del SST en la columna observaciones las novedades de cada tarea planeada, en caso de verificar actividades con un cumplimiento inferior al esperado se toman las acciones pertinentes registrando responsables y fecha de ejecución de la misma.</t>
  </si>
  <si>
    <t xml:space="preserve">Se cargaran evidencias mensualmente de la implementación, avances y  gestión del plan de trabajo del SG-SST en el Aplicativo Isolución </t>
  </si>
  <si>
    <t xml:space="preserve">Falta de autocuidado durante los desplazamientos internos y planeación para la realizacion de las actividades laborales </t>
  </si>
  <si>
    <t>Aumento en el uso de herramientas tecnologicas para la comunicación, lo que conlleva a estar conectados de manera permanente al dispositivo celular y no permite la observación y cuidado en los desplazamientos y/o otras actividades, asi como el tratamiento y cierre inadecuado de las condiciones inseguras en el sitio de trabajo</t>
  </si>
  <si>
    <t xml:space="preserve">Posibilidad de perdida reputacional y economica durante el proceso de validación del nivel de sinisetralidad por parte de las aseguradoras que disminuya el porcentaje de reinversión afectando el presupuesto para el desarrollo de las actividades del SG-SST por el aumento en los casos de accidentalidad laboral y enfermedad profesional </t>
  </si>
  <si>
    <t xml:space="preserve">la profesional Fisioterapeuta del equipo de SST Mensualmente realiza Inspecciones a los puestos de trabajo IPT a través de una lista de verificación donde se validan las condiciones fisicas adecuadas de los puestos de trabajo de los servidores publicos que se encuentran en modalidad virtual y presencial con el proposito de evitar enfermedades de tipo Biomecanico, en caso de evidenciar un incumplimiento reportá a traves de correo electronico o un informe consolidado a la Dirección de Desarrollo Humano para hacer la modificación necesaria o si las condiciones lo permiten ella directamente modifica el puesto para que cumpla con los criterios previamente establecidos </t>
  </si>
  <si>
    <t>Se generara un informe consolidado de los principales hallazgos de las inspecciones de puestos de trabajo IPT adelantadas por la Fisioterapeuta y sus recomendaciones pertinentes</t>
  </si>
  <si>
    <t xml:space="preserve"> de Riesgos de Gestión #4098
</t>
  </si>
  <si>
    <t xml:space="preserve">El profesional Universitario asignado al proceso de SST perteneciente a la Dirección de Desarrollo Humano, realiza  el consolidado de las lecciones aprendidas de manera mensual de los accidentes de trabajo como identificación de las causas posteriores a la investigación, para ser socializadas con todos los servidores públicos de la Gobernación de Cundinamarca, a través de los medios de comunicación oficiales como INTRANET, grupos de Whatsapp y correo electrónico; el dinamizador del proceso verifica los 10 primeros dias del mes que se encuentre la información actualizada en dichos medios, en caso de no encontrarla actualizada se solicuita a la persona responable de comunicaciones de la secreatria que realice el cargue de la información </t>
  </si>
  <si>
    <t>Se Desarrollara el Concurso del ranking de las secretarias con menos accidentalidad del semestre</t>
  </si>
  <si>
    <t>Jose Rolando Ramos</t>
  </si>
  <si>
    <t>Catalina Gonzelz Segura - Director de Desarrollo Humano</t>
  </si>
  <si>
    <t>La Dirección de Desarollo Humano lleva a cabo la Jornada de Inducción para todos los servidores posesionados y Reinducción a la Entidad de manera anual, informando a todos los servidores Públicos los riesgos a los cuales estan expuestos y los accidentes mas frecuentes, evaluando los conceptos expuestos para medir el nivel de entendimiento adquirido durante la capacitación, de no responder de manera satisfactoria la evaluación, el profesional del proceso de capacitación genera un comunicado donde como compromiso el funcionario debe socializar a su equipo de trabajo la tematica que no fue cumplida de manera conceptual y satisfactoria en la evaluación, acompañando el proceso y recogiendo las evidencias que posteriormente son consolidades en el informe trimestral de capacitación.</t>
  </si>
  <si>
    <t>Se realizar un informe anual del consolidado de los participantes y las calificaciones obtenidas en el proceso de Inducción y Re inducción</t>
  </si>
  <si>
    <t>El equipo de mejoramiento del proceso revisa anualmente los procedimientos de inspecciones y reporte de actos y condiciones inseguras, para validar que el reporte, gestión y seguimiento de dichas acciones se esta haciendo como esta definido en el proceso para incentivar el reporte de incidentes y condiciones inseguras registrando en la matriz de actos y condiciones las novedades detectadas que posteriormente son evaluadas en conjunto con la secretaria general en inmobiliaria en el caso de encontrar que no se han cerrado los hallazgos se reportan a los responsables mediante mercurio y el aplicativo Isolucion</t>
  </si>
  <si>
    <t>Se hara una Capacitación al equipo de SST sobre la metodologia para la elaboración de las inspecciones y el reporte y tratamiento de los actos y las condiciones inseguras</t>
  </si>
  <si>
    <t>Cristian Camilo Rojas</t>
  </si>
  <si>
    <t>Tecnico Operativo</t>
  </si>
  <si>
    <t>La Dirección de Desarrollo Humano desarrolla jornadas de Acondicionamiento fisico dos meses antes del inicio de la copa Gobernación para las personas que participaran en juesgo de alto impacto con el proposito de disminuir la accidentalidad que se incrementa por el desarrollo de este tipo de actividades, a traves del contrato ejecutado por el gimnasio realizando cronograma, en caso de no contar con un profesional de dicho contrato se realizan estas actividades con el profesional del deporte responsable de la copa Gobernación registrando la asistencia a traves de los formatos pertinentes</t>
  </si>
  <si>
    <t>Se emitiran piezas informativas mensuales de las sesiones de acondicionamiento fisico y se elaborara un cronograma de actividades donde se establezcan  las sesiones de entrenamiento por cada deporte de impacto</t>
  </si>
  <si>
    <t>Los profesionales de SST de la Dirección de Desarrollo Humano y Desarrollo Organizacional adelantaran inspecciones mensuales de acuerdo a lo definido en el cronograma, para evaluar las condiciones físicas en las instalaciones y las comportamientos en los puestos de trabajo que tiene como finalidad detectar peligros por causas humanas, técnicas o materiales, en caso de hallar condiciones inseguras o comportamientos inseguros, se realiza el registro en la matriz de actos y condiciones inseguras para que el tecnico en SST pueda hacer el control y garantizar el cierre en lo que compete a las instalaciones fisicas.  Frente al comportamiento humano, se generan comunicados y piezas publicitarias para divulgar a todos los actores del Sistema de Gestión de la Seguridad y Salud en el Trabajo como Lección aprendida.</t>
  </si>
  <si>
    <t>Se consolidara en una matriz las condiciones y los actos inseguros para hacerle seguimiento en el aplicativo Isolución el cual permitira cargar las acciones y asignar los responsables del cierre oportuno</t>
  </si>
  <si>
    <t xml:space="preserve"> Los lideres de los procesos que hacen parte de la nueva administración se encuentran en la curva de aprendizaje de la cultura organizacional de la entidad que esta basada en el enfoque por procesos de todo el SIGC .</t>
  </si>
  <si>
    <t>Alta rotación del personal que lidera los distintos procesos de la Gobernación de Cundinamarca lo cual dificultad fortalecer la curva de aprendizaje y apropiación sobre el SG-SST</t>
  </si>
  <si>
    <t xml:space="preserve">Posibilidad de perdida reputacional que genera disminución en el indice de desempeño institucional y percepcion negativa de la entidad ante los usuarios y partes interesadas de la Gobernación de Cundinamarca por la no renovación del certificado del SG-SST bajo los criterios de la norma ISO 45001 </t>
  </si>
  <si>
    <t>La Directora de Desarrollo Humano como estrategia de comunicación crea y actualiza de manera anual el grupo de agentes de SST como enlace entre el SG-SST y las diferentes secretarias y procesos de la Gobernación de Cundinamarca con el objetivo principal de ser multiplicadores de los conocimientos y actividades que se adelantan para fortalecer e incrementar los conocimientos y apropiación en materia de Seguridad y Salud en el Trabajo, registrando de manera anual un plan de trabajo con dicha población y a través de comunicaciones constantes para la participación en actividades y programación del plan de trabajo del SG-SST.  De no existir receptividad por parte de las personas delegadas, la secretaría de la Función pública solicita a los lideres de proceso a través de Circulares o comunicados por correo electronico, las actividades fundamentales para la participación.</t>
  </si>
  <si>
    <t>Se Inscribiran a los agentes de SST una vez al año en el curso de 50 horas del SG-SST con certificado de aprobación en conjunto con ARL Positiva ,para que adquieran los conocimientos necesarios que deben replicar a sus compañeros sobre el SG-SST</t>
  </si>
  <si>
    <t xml:space="preserve"> de Riesgos de Gestión #4100
</t>
  </si>
  <si>
    <t>La Directora de Desarrollo Humano diseña y define de manera anual los recursos necesarios para poner en marcha el Plan institucional de capacitación vigencia 2022, dirigido a todos los grupos de interes que hacen parte del Sistema de Gestión de la Seguridad y Salud en el Trabajo el cual tiene como objetivo incrementar el nivel de apropiación y conocimiento de los servidores públicos frente al SG-SST, el cual se realiza a traves de la programación de capacitaciones enfocadas en los diferentes grupos de interes que hacen parte del SG-SST las cuales se soportan con las memorias de la capacitación , listas de asistencia y evaluaciones de impacto a los asistentes , en caso de no llevarse a cabo la capacitación programada se reprograma para dar cumplimiento al cien por ciento del PIC</t>
  </si>
  <si>
    <t xml:space="preserve">Se generara un informe de gestión de avance del PIC de manera trimestral </t>
  </si>
  <si>
    <t>La Dirección de Desarrollo Organizacional en cumplimiento de los requisitos de la norma de gestión ISO 45001:2018, anualmente programa el ciclo de auditorias internas a través de las cuales se evalúa el nivel de apropiación que tienen los servidores públicos frente al Sistema de Gestión de la Seguridad y Salud en el Trabajo SG-SST.  En caso de encontrar incumplimiento en alguno de los numerales solicitados por la norma, el proceso correspondiente levantará un plan de acción para cerrar el hallazgo con las fechas de cierre y un seguimiento trimestral de cada uno de los planes de acción y avances del programa</t>
  </si>
  <si>
    <t xml:space="preserve">Se cargara en el aplicativo Isolución el informe de las auditorias realizadas por el ente certificador y se divulgaran los resultados mediante correo electronico al equipo de mejoramiento del SST </t>
  </si>
  <si>
    <t xml:space="preserve">La Dirección de Desarrollo Humano Realizara el proceso de Inducción y Reinduccion anual donde se incluiran a todos los funcionarios y contratistas, ademas de los lideres de proceso y secretarios, en dicha jornada de capacitación se les divulgaran los roles y responsabilidades de cada uno frente al SG-SST para que promuevan y aseguren el cumplimiento de los requisitos legales aplicables para la contratación y el manual de contratistas establecido por la entidad, en caso de que en los procesos de inducción y reinudcción no se divulguen los roles y responsabilidades se desarrolla una capacitación especifica sobre el manual de contratistas y se emitite una  pieza dinamo anual recordando dichos roles y responsabilidades durante los procesos de contratación </t>
  </si>
  <si>
    <t>Se diseñara y publicara una guia con los roles y responsabilidades frente al SG-SST y se cargara en el aplicativo isolución para que pueda ser consultado por todos los funcionarios y contratistas de la Gobernación de Cundinamarca</t>
  </si>
  <si>
    <t xml:space="preserve">Publicación de procesos contractuales y selección del contratista sin la adecuada planeación </t>
  </si>
  <si>
    <t>Equipos estructuradores que en la fase de planeación  no tienen en cuenta los lineamientos establecidos en la ley y en el proceso de Gestión Contractual para la planeación, publicación y suscripción del contrato</t>
  </si>
  <si>
    <t>Posibilidad de afectación reputacional por publicación de procesos contractuales y selección del contratista sin la adecuada planeación de los equipos estructuradores que puede llevar a celebrar contratos que no respondan a la necesidad de bienes o servicios que requiere la comunidad.</t>
  </si>
  <si>
    <t>Cada vez que se va a suscribir un contrato, el equipo estructurador conformado por un funcionario de la parte técnica, uno de la parte jurídica y uno de la parte financiera, de cada dependencia elabora los estudios y documentos previos con el fin de asegurar que la provisión de bienes y servicios esté acorde a las necesidades de la dependencia y al cumplimiento de los proyectos, programas y metas del plan de desarrollo. Como evidencia se dejan los formatos diligenciados de estudios previos. Los contratos de prestación de servicios son revisados por los jefes jurídicos de cada dependencia o el profesional que haga sus veces, en caso de encontrar inconsistencias estos documentos son devueltos. Para los otras modalidades contractuales serán  revisados por la dirección de contratación y el comité de acuerdo con la normatividad establecida por el Departamento, como evidencia se emite un concepto de Revisión de Procesos Precontractuales en el formato A-GC-FR-022. y el acta de sesión de comité de contratos A-GC-FR-023.</t>
  </si>
  <si>
    <t>Verificar cuatrimestralmente la revision de los procesos contractuales que se encuantren registrados en el PAA  y los radicados en la direccion de contratación de tal forma que se encuentren estructurados de acuerdo con la normatividad vigente para cada modalidad contractual</t>
  </si>
  <si>
    <t xml:space="preserve">Juan Carlos Gómez Gutierrez </t>
  </si>
  <si>
    <t>Contratación Secretaría Jurídica</t>
  </si>
  <si>
    <t>Secretario Jurídica</t>
  </si>
  <si>
    <t>30 de mayo 2022</t>
  </si>
  <si>
    <t>31 de diciembre 2022</t>
  </si>
  <si>
    <t>Cada vez que se radica un proceso contractual en la dirección de contratación el profesional asignado por el director de acuerdo con el reparto, revisa el proceso diligenciando el formato A-GC-FR-022 "Concepto de revisión de procesos precontractuales" para asegurar su pertinencia y adecuación jurídica. Según lo previsto en la normatividad establecida por el Departamento, se convoca al comité de contratación para revisar el proceso. Como evidencia se dejan actas de reuniones en el formato A-GC-FR-023 Acta de sesión de comité de contratos. En caso de encontrar inconsistencias los procesos son devueltos al área interesada para que realicen los ajustes requeridos.
Los procesos que deban ser gtratados en comité constarán en el acta en donde se registra la decisión del comité el proceso podrá continuar o deberá ser estudiado nuevamente.</t>
  </si>
  <si>
    <t xml:space="preserve">Realizar capacitaciones a los servidores con funciones contractuales en la aplicación del principio de planeación. </t>
  </si>
  <si>
    <t>Ligia Marlén Sánchez Otalora</t>
  </si>
  <si>
    <t>Profesional</t>
  </si>
  <si>
    <t xml:space="preserve">Director de Contratacaion </t>
  </si>
  <si>
    <t>Fallas en el seguimiento a la ejecución de contratos o  convenios por parte de los supervisores</t>
  </si>
  <si>
    <t xml:space="preserve">
Debilidades en la realización del seguimiento de la ejecución contractual tal como lo define la ley y el Manual de Contratación y Manual de Vigilancia y Control de la Ejecución Contractual.</t>
  </si>
  <si>
    <t>Posibilidad de afectación económica y reputacional por fallas en el seguimiento a la ejecución de contratos y convenios por parte de los supervisores/interventores debido a debilidades en el seguimiento de la ejecución contractual.</t>
  </si>
  <si>
    <r>
      <t>Mensualmente los supervisores de contratos/convenios realizan seguimiento en la plataforma CONTRATACION AUN CLIC- SUPERVISA, con el fin de reportar los avances y alertar posibles incumplimientos,</t>
    </r>
    <r>
      <rPr>
        <sz val="9"/>
        <color rgb="FF00B050"/>
        <rFont val="Calibri"/>
        <family val="2"/>
        <scheme val="minor"/>
      </rPr>
      <t xml:space="preserve"> </t>
    </r>
    <r>
      <rPr>
        <sz val="9"/>
        <rFont val="Calibri"/>
        <family val="2"/>
        <scheme val="minor"/>
      </rPr>
      <t>la evidencia se encuentra en la plataforma SUPERVISA, de donde se toman los reportes respectivos.</t>
    </r>
    <r>
      <rPr>
        <sz val="9"/>
        <color theme="1"/>
        <rFont val="Calibri"/>
        <family val="2"/>
        <scheme val="minor"/>
      </rPr>
      <t xml:space="preserve">  Si en el seguimiento se evidencian contratos/convenios con posibilidad de incumplimiento, se requieren a los ordenadores del gasto para conminar al contratista al cumplimiento de las condiciones establecidas o iniciar los procedimientos a que haya lugar.</t>
    </r>
  </si>
  <si>
    <t>Realizar seguimiento cuatrimestral a la ejecución contractual en el aplicativo SUPERVISA y socializar los resultados en el indicador de Proveedores calificados con riesgo Alto y Medio</t>
  </si>
  <si>
    <r>
      <t>Permanentemente los servidores públicos con funciones de supervisión de contratos o convenios, aplican la ley y el "Manual de Contratación y Manual de Vigilancia y Control de la Ejecución Contractual" para asegurar la adecuada ejecución de los contractos/onvenios de la gobernación. Como evidencia se dejan los informes de supervisión A-GC-FR- 017</t>
    </r>
    <r>
      <rPr>
        <sz val="10"/>
        <color rgb="FFFF0000"/>
        <rFont val="Calibri"/>
        <family val="2"/>
        <scheme val="minor"/>
      </rPr>
      <t xml:space="preserve"> </t>
    </r>
    <r>
      <rPr>
        <sz val="10"/>
        <color theme="1"/>
        <rFont val="Calibri"/>
        <family val="2"/>
        <scheme val="minor"/>
      </rPr>
      <t xml:space="preserve">del proceso. </t>
    </r>
    <r>
      <rPr>
        <sz val="9"/>
        <rFont val="Calibri"/>
        <family val="2"/>
        <scheme val="minor"/>
      </rPr>
      <t>En caso de evidenciar circunstancias que afectan el seguimiento a la ejecución contractual se harán capacitaciones con los funcionarios de las dependencias.</t>
    </r>
  </si>
  <si>
    <r>
      <rPr>
        <sz val="9"/>
        <rFont val="Arial Narrow"/>
        <family val="2"/>
      </rPr>
      <t>Realizar capacitaciones específicas en  supervisión y el seguimiento contractual y manejo de la plataforma SUPERVISA, para los su</t>
    </r>
    <r>
      <rPr>
        <sz val="9"/>
        <color theme="1"/>
        <rFont val="Arial Narrow"/>
        <family val="2"/>
      </rPr>
      <t>pervisores de contratos o convenios, para asegurar un adecuado seguimiento.</t>
    </r>
    <r>
      <rPr>
        <sz val="9"/>
        <color rgb="FFFF0000"/>
        <rFont val="Arial Narrow"/>
        <family val="2"/>
      </rPr>
      <t xml:space="preserve"> </t>
    </r>
  </si>
  <si>
    <t>Manejo inadecuado, subutilización y desconocimiento de herramientas del software contable SAP.</t>
  </si>
  <si>
    <t>Limitada administración en el manejo integral de la herramienta tecnológica SAP del módulo contable por parte de la Dirección de Contaduría, que pueda generar inexactitud en la información producida.</t>
  </si>
  <si>
    <t xml:space="preserve">Posibilidad de afectación económica y reputacional por manejo inadecuado, subutilización y desconocimiento de herramientas del software contable, originada en la limitada administración en el manejo integral de la herramienta SAP del módulo contable por parte de la Dirección de Contaduría, que pueda generar inexactitud en la información producida. </t>
  </si>
  <si>
    <t>Leve</t>
  </si>
  <si>
    <t>El Director Financiero de Contaduría programará capacitaciones de manera semestral a los funcionarios y servidores públicos contratistas que son enlaces contables en el sector central de la Gobernacion de Cundinamarca, en lo concerniente al manejo operacional  y generación de transferencia de conocimiento en el desarrollo integral del módulo contable de la herramienta tecnológica SAP y su funcionamiento. Evidencia: planilla de asistencia a las capacitaciones; la presentación de la capacitación.</t>
  </si>
  <si>
    <t>Elaborar cronograma de capacitaciones semestrales referente al manejo y valoración de la herramienta SAP.</t>
  </si>
  <si>
    <t>Juan Jose Fajardo Rios</t>
  </si>
  <si>
    <t>Contratista</t>
  </si>
  <si>
    <t>Dirección de Contaduria</t>
  </si>
  <si>
    <t>Raul Antonio Barriga Castiblanco</t>
  </si>
  <si>
    <t>29 de abril de 2022</t>
  </si>
  <si>
    <t>#4058</t>
  </si>
  <si>
    <t>El Director Financiero de Contaduría remitirá un oficio dirigido a los administradores del sistema SAP, en el cual solicitará que las operaciones que sean registradas requieran un soporte para ser cargadas dentro del sistema, con el fin de que el soporte contable sea indispensable para la generación del documento. Evidencia: Oficio enviado por mercurio.</t>
  </si>
  <si>
    <t>Remitir oficio dirigido a Secretaría de las TIC- Administrador SAP solicitando que las operaciones que no cuenten con su respectivo anexo y/o soporte no puedan ser registradas dentro del software contable SAP.</t>
  </si>
  <si>
    <t xml:space="preserve"> Los profesionales de la  Dirección de Contaduría y los enlaces contables cargaran los anexos, soportes, documentos, etc. Que validen las operaciones que se van a registrar dentro de software contable SAP. Evidencia: Pantallazos tomados de operaciones aleatoriamente, donde evidencie el cargue de los soportes y/o anexos.</t>
  </si>
  <si>
    <t>50%</t>
  </si>
  <si>
    <t>Verificar que los profesionales de la Dirección de Contaduría y los enlaces contables carguen los soportes y/o anexos de las operaciones que sean registradas.</t>
  </si>
  <si>
    <t xml:space="preserve">Demora, reprocesos y/o ausencia en la información enviada a la Secretaría de Hacienda, sin los estándares exigidos </t>
  </si>
  <si>
    <t>Reprocesos, demoras, ausencia en el reporte de la informacion que sustenta la presentacion de Estados Financieros y las notas a los estados financieros.</t>
  </si>
  <si>
    <t>Posibilidad de afectación reputacional por reprocesos, demora y/o ausencia de la información enviada a la Secretaría de Hacienda por partes de la entidades responsables del sector central y entidades que agregan información al Departamento y que no cumpla con los estándares exigidos por el ente regulador para la presentación de reportes financieros y contables.</t>
  </si>
  <si>
    <t>Los profesionales asignados por el Director Financiero de Contaduría, realizararán la verificación del envío de los reportes contables trimestrales a través del CHIP de la Contaduría General de la Nación y el profesional y/o contratista encargado verificará su respectiva publicación en la página web del Departamento, garantizando su oportuna presentación. Evidencias: Certificado de cargue en el CHIP de la CGN; Pantallazo al portal web de la gobernación donde se evidencie la publicación.</t>
  </si>
  <si>
    <t>Verificar la expedición del certificado de cargue oportuno de los reportes financieros en la plataforma de la CGN y verificación del cargue trimestral de los Estados Financieros del Departamento en el micrositio de la página web de la Secretaría de Hacienda.</t>
  </si>
  <si>
    <t>Direccion de Contaduria</t>
  </si>
  <si>
    <t>#4059</t>
  </si>
  <si>
    <t>El profesional especializado  designado por el Director Financiero de Contaduría, realizará el envio trimestral de los lineamientos a las dependencias, entidades del sector central y entidades que agregan información al Departamento que se deberan tener en cuenta en los reportes contables,  específicamente la información a revelar y reportar en las notas a los estados financieros. Evidencia: oficios, circulares, correos electrónicos.</t>
  </si>
  <si>
    <t>Elaborar un informe  trimestral de seguimiento y control a la socialización de los lineamientos a la diferentes dependencias, entidades del Sector Central y Entidades que agregan información al Departamento.</t>
  </si>
  <si>
    <t>Con el fin de que la información contable cumpla con los estándares requeridos, los profesionales y/o contratistas de la Dirección de Contaduria entregáran al funcionario designado por el Director Financiero de Contaduria, todas las actividades que fueron realizadas en cumplimiento de sus funciones y/o obligaciones para crear un banco de información de la Dirección de Contaduria. Evidencia: Pantallazo de las actividades enviadas por los servidores de la Dirección de Contaduría.</t>
  </si>
  <si>
    <t xml:space="preserve">Mensualmente el funcionario designado por el Director Financiero de Contaduria se encargará de recopilar las actividades ejecutadas por los servidores, las cuales reposarán en el archivo digital de la Dirección de Contaduría. </t>
  </si>
  <si>
    <t>Reprocesos, información desactualizada y diferencias en la ejecución presupuestal.</t>
  </si>
  <si>
    <t>Duplicidad en la expedición de certificados de disponibilidad y registros presupuestales, afectando la ejecución presupuestal.</t>
  </si>
  <si>
    <t>Posibilidad de afectación reputacional por reprocesos, información desactualizada y diferencias en la ejecución presupuestal en caso de llegarse a presentar duplicidad en la expedición de certificados de disponibilidad y registros presupuestales, afectando la ejecución presupuestal.</t>
  </si>
  <si>
    <t>El funcionario y/o contratista designado por parte de la Dirección de Presupuesto socializará mensualmente mediante correo electrónico la ejecución presupuestal acumulada  al cierre de mes (detalle de los CDPS y RPCS expedidos / valor mensualizado x 100) , a las dependencias del nivel central y descentralizado. Evidencia: correo electrónico anexando la ejecución presupuestal acumulada.</t>
  </si>
  <si>
    <t>Elaboración mensual de los informes de ejecución presupuestal acumulada; proyección y remisión correo de socialización de la información presupuestal para las dependencias y entidades del nivel central y descentralizado.</t>
  </si>
  <si>
    <t>Miguel Ángel Tinoco Barralco</t>
  </si>
  <si>
    <t xml:space="preserve">Contratista </t>
  </si>
  <si>
    <t>Dirección de Presupuesto</t>
  </si>
  <si>
    <t>Miguel Andres Sanchez Prada</t>
  </si>
  <si>
    <t>#4060</t>
  </si>
  <si>
    <t>El funcionario y/o contratista designado de la Dirección de Presupuesto (enlace presupuestal) recibirá unicamente vía mercurio , para dejar la trazabilidad y evitar duplicidad, las solicitudes y los anexos para la expedición del CDP y RPC que envíen las dependencias del nivel central y  descentralizado, en caso de que no sea enviada a través del aplicativo mercurio será  rechazada la solicitud, por parte de la Dirección de Presupuesto. Evidencia: Oficios recibidos por mercurio.</t>
  </si>
  <si>
    <t>Elaboración de informe mensual de  las solicitudes de expedición de  CDP y RPC recibidas  por medio del aplicativo mercurio y tramitadas por cada enlace presupuestal.</t>
  </si>
  <si>
    <t>Julio César Guzmán Castilla</t>
  </si>
  <si>
    <t>Inadecuado monitoreo, seguimiento, evaluación y control de la gestión financiera territorial</t>
  </si>
  <si>
    <t xml:space="preserve">Demora, reprocesos y/o ausencia en la información enviada a la Secretaría de Hacienda, sin los estándares exigidos para la presentación de informes financieros que repercute en las notas y los Estados Financieros. </t>
  </si>
  <si>
    <t>Posibilidad de afectación economica y reputacional por inexactitud en la información presupuestal reportada o por incumplimiento en  los tiempos establecidos por los entes de control.</t>
  </si>
  <si>
    <t>El funcionario y/o contratista designado por parte de la Dirección de Presupuesto, recibirá capacitación para el adecuado monitoreo, seguimiento, evaluación y control de la gestión financiera territorial y los sistemas de información financiera. Evidencia: Planilla de asistencia y actas de las capacitaciones.</t>
  </si>
  <si>
    <t>Capacitación mensual a  los servidores en competencias  relacionadas  con gestion financiera territorial y los sistemas de información financiera.</t>
  </si>
  <si>
    <t>#4061</t>
  </si>
  <si>
    <t>El funcionario y/o contratista designado por parte de la Dirección de Presupuesto,  efectuará monitoreo, seguimiento, evaluación y control a las ejecuciones presupuestales activas y pasivas de la vigencia corriente, vigencias futuras, cuentas por pagar, reservas y regalias del departamento asegurando la  adecuada gestion financiera territorial. Evidencia: Informe del segumiento</t>
  </si>
  <si>
    <t>Elaboración de informe mensual a las secciones presupuestales.</t>
  </si>
  <si>
    <t>El Director Financiero de Presupuesto o a quien este designe realizará reuniones mensuales de seguimiento a la ejecución presupuestal. Evidencia: Actas de reunión.</t>
  </si>
  <si>
    <t xml:space="preserve">Realizar mensualmente comité de seguimiento a la ejecución presupuestal del departamento de Cundinamarca.  </t>
  </si>
  <si>
    <t>Director Financiero de Presupuesto</t>
  </si>
  <si>
    <t>El funcionario y/o contratista designado por parte de la Dirección de Presupuesto para la rendición de informes a entes de control,  realizará  el cronograma de presentación,  validando la información financiera de la entidad territorial. Evidencia: Cronograma de presentación de informes.</t>
  </si>
  <si>
    <t xml:space="preserve">Elaboración del cronograma anual para el envio de información financiera a los entes de control. Asi como los soportes y  trazabilidad de la información reportada, dejando evidencia de la validación con la información financiera territorial. </t>
  </si>
  <si>
    <t>Inexactitud del valor ordenado para el pago y/o giro bancario correspondiente</t>
  </si>
  <si>
    <t>Inconsistencia en la digitación de los datos o valor de pago del beneficiario, afectando los resultados óptimos del proceso</t>
  </si>
  <si>
    <t>Posibilidad de afectación económica y reputacional por inexactitud del valor ordenado para el pago y/o giro en la Dirección de Tesorería afectando los resultados óptimos del proceso, debido la inconsistencia en la digitación de los datos del beneficiario.</t>
  </si>
  <si>
    <t>El funcionario y/o contratista de la Dirección de Tesorería revisará cada uno de los documentos radicados cotejando la información en el formato "Recibo a satisfacción y certificado para pago de contrato/convenios" con los documentos soportes, con el objetivo de verificar el valor exacto del documento de pago. En caso de encontrar diferencias el documento de pago será devuelto al ordenador del gasto para que corrija y vuelva a radicar la cuenta con la información veráz y real. Evidencia reparto de documentos de pago al grupo de giros y comunicación de devolución. Evidencia: aceptación o devolución del documento de pago</t>
  </si>
  <si>
    <t>El servidor de ventanilla registra trimestralmente un resumen de los documentos de pago que se devolvieron al ordenador del gasto para corrección y/o modificación cuando se detecte una inconsitencia y/o error.</t>
  </si>
  <si>
    <t xml:space="preserve">Andrea Johanna Quevedo </t>
  </si>
  <si>
    <t>Dirección de Tesorería</t>
  </si>
  <si>
    <t>Luis Armando Rojas Quevedo</t>
  </si>
  <si>
    <t>#4062</t>
  </si>
  <si>
    <t xml:space="preserve">Los funcionarios de la Dirección de Tesorería  (grupo giros) registrarán cada vez que se van a realizar un giro en el sistema SAP, el valor correspondiente al documento de pago, que debe coincidir con el cargado en dicho sistema contra el valor inscrito en el portal bancario, con el objetivo de verificar el valor exacto del documento de pago. En caso de encontrarse desviaciones el sistema arrojará dicha discordancia con la finalidad de corregir la información del giro y de esta manera tener el registro exitoso en el sistema SAP y posterior pago en el portal bancario. Evidencia: listado de cargues bancarios revisados y contabilizados previo pago en el portal bancario. </t>
  </si>
  <si>
    <t>El equipo de giros registra diariamente el número de pagos no exitosos y consolida cifra mensual, enviando correo electrónico institucional con el informe.</t>
  </si>
  <si>
    <t>El funcionario y/o contratista de la Dirección de Tesorería, revisará manualmente las macros bancarias cada vez que se va a realizar un giro ,cotejando el valor correspondiente del documento de pago con la digitalizada, de manera que debe coincidir para cargar en los portales bancarios y proceder al pago del mismo. Evidencia: vistos buenos en las macros bancarias</t>
  </si>
  <si>
    <t>Rendir informe mensual en una base de datos de excel los errores arrojados por los portales bancarios con el fin de analizar las causas y tomar correciones.</t>
  </si>
  <si>
    <t>Los profesionales y técnicos de la Dirección de Tesorería, revisarán semestralmente o cuando el Director Financiero lo requiera, a través del sistema Isolución, la Guía de pagos y el procedimiento de giros que establece detalladamente los pasos y controles para un efectivo y preciso pago correspondiente al estipulado por el ordenador del gasto. Evidencia: pantallazos</t>
  </si>
  <si>
    <t>Socializar y requerir cada semestre a los profesionales y técnicos de la Dirección de Tesorería para que consulten en Isolución la Guía de pagos y el Procedimiento de Giros que detallan de forma exacta el trámite de pago que deben realizar.</t>
  </si>
  <si>
    <t>Desistimiento de alguna de las partes en apoyar la demanda de cooperación del Departamento de Cundinamarca</t>
  </si>
  <si>
    <t xml:space="preserve">Formulación erronea de instrumentos o presentación de instrumentos no susceptibles de cooperación. </t>
  </si>
  <si>
    <t>Posibilidad de afectación económica y reputacional por el desistimiento  de alguna de las partes en apoyar la demanda de cooperación del Departamento de Cundinamarca debido a la formulación erronea de instrumentos;  o la presentación de instrumentos no susceptibles de cooperación.</t>
  </si>
  <si>
    <t xml:space="preserve">Cada vez que se identifique la demanda (necesidad) de cooperación nacional e internacional, la entidad del orden departamental o el ente territorial  interesado en la gestión de cooperación técnica o financiera, brindara la información necesaria para realizar la trazabilidad de la gestión por parte de los profesionales de la oficina de Cooperación Internacional. En caso de no recibir respuesta favorable se comunicara por escrito a la entidad o municipio de la no continuidad en el trámite y en caso de darse viabilidad al instrumento se iniciará el proceso de gestión ante cooperantes, realizando el respectivo seguimiento. </t>
  </si>
  <si>
    <t xml:space="preserve">Se verificará en el comité de seguimiento mensual de la oficina de cooperación internacional mediante acta de reunión, la trazabilidad en la gestión de las instrumentos de cooperación nacional o internacional. </t>
  </si>
  <si>
    <t>Liliana Sanchéz</t>
  </si>
  <si>
    <t>Jefe de Oficina</t>
  </si>
  <si>
    <t>Oficina de Cooperación Internacional</t>
  </si>
  <si>
    <t xml:space="preserve"> Impacto negativo de la Secretaría de Asuntos Internacionales. </t>
  </si>
  <si>
    <t>No poder fortalecer la internacionalizacion del departamento con las acciones desarrolladas en el tejido empresarial.</t>
  </si>
  <si>
    <t xml:space="preserve">Posibilidad de afectación reputacional e impacto negativo de la Secretaría de Asuntos Internacionales al no poder fortalecer la internacionalizacion del departamento con las acciones desarrolladas en el tejido empresarial. </t>
  </si>
  <si>
    <t xml:space="preserve">Cada vez que un facilitador (Profesional de la SAI) evalue una empresa con potencial exportador se deberá construir el Plan de Trabajo para la Internacionalización empresarial, cuya ejecucion estará a cargo de la empresa. Para el apoyo al cumplimiento de este plan, el profesional de la Secretaría de Asuntos Internacionales socializará con el empresario la oferta de programas y/o servicios que den apertura las diferentes entidades promotoras de internacionalización, incluida la Gobernación de Cundinamarca. De acuerdo con las acciones planteadas se deberá realizar seguimiento en las fechas establecidas en el formato del plan a los compromisos y dejar evidencia de los resultados de las acciones. En el caso que alguna acción que se haya establecido no sea cumplida se deberá dejar evidencia de las circunstancias que dieron lugar al incumplimiento del compromiso adquirido por el empresario. </t>
  </si>
  <si>
    <t>Se realizará seguimiento en comité interno de la Oficina de Asuntos Económicos Internacionales mediante acta de reunión a la participación y resultados obtenidos por las empresas a los compromisos relacionados en el Plan de Trabajo para la Internacionalización empresarial, en las fechas establecidas.</t>
  </si>
  <si>
    <t xml:space="preserve">Alexander Garzón Romero </t>
  </si>
  <si>
    <t>Oficina de Asuntos Económicos Internacionales</t>
  </si>
  <si>
    <t>Alexander Garzón</t>
  </si>
  <si>
    <t xml:space="preserve">Cada vez que  se genere una acción para la internacionalización liderada por la Secretaría de Asuntos Internacionales que requiera la selección de una o unas empresas y/o asociaciones a beneficiar, un facilitador (Profesional de la SAI) deberá elaborar un documento técnico de aviso en el que se establezcan los términos y condiciones para la selección de beneficiarios de acuerdo a la acción ofertada, los cuales serán socializados por los medios idóneos establecidos. Una vez se cumpla el tiempo de inscripción de las partes interesadas se deberá evaluar en un comité establecido para tal fin el cumplimiento de los términos por parte de los interesados, dejando constancia de los seleccionados en  acta. En el caso que no se inscriba ningún interesado o un numero de interesados menor al esperado a impactar en los tiempos establecidos la Secretaría de Asuntos Internacionales podrá desistir del aviso o modificar el cronograma o alcance dejando evidencia en respectiva acta. </t>
  </si>
  <si>
    <t xml:space="preserve">Se realizará la selección y toma de decisiones en comité Interno de oficina de Asuntos Económicos Internacionales mediante acta de reunión de los beneficiarios de acuerdo, a la acción ofertada por la Secretaría de Asuntos Internacionales en cumplimiento al documento técnico de aviso de los términos y condiciones. </t>
  </si>
  <si>
    <t xml:space="preserve">Falta de control en los términos de los autos proferidos. </t>
  </si>
  <si>
    <t>Alto volumen de expedientes.</t>
  </si>
  <si>
    <t xml:space="preserve">
Posibilidad de pérdida reputacional por  la falta de control en los términos de lo autos proferidos, debido a el alto volumen de expedientes tramitados por la Oficina de Control Interno Disciplinario.</t>
  </si>
  <si>
    <t>De manera semanal el auxiliar administrativo  hace la entrega al equipo tecnico-asistencial de los procesos, para trámite y proyección de oficios pruebas los que deben ser realizados dentro de los quince (15) dias siguientes a la entrega de los mismos. En caso de encontrar desviaciones se hará un requerimiento al funcionario responsable para que proceda de manera inmediata al cumplimiento de la actividad. Como evidencia se deja la relacion de expedientes entregados en una base excel.</t>
  </si>
  <si>
    <t>Se realizará solicitudes a traves de correo electrónico de manera mensual al grupo tecnico-asistencial, con el objetivo de reportar el avance en los oficios pruebas y los que se encuentran pendientes. Como envidencia se dejan las solicitudes enviadas a través del correo con su respectivas respuestas.</t>
  </si>
  <si>
    <t>Zayra Torres</t>
  </si>
  <si>
    <t>Oficina Contro Interno Disciplinario</t>
  </si>
  <si>
    <t>Sandra Hoyos Acosta</t>
  </si>
  <si>
    <t xml:space="preserve"># 4103
</t>
  </si>
  <si>
    <t>Se realizará reuniones de manera trimestral con el grupo tecnico-asistencial, con el objetivo de reportar el avence en los oficios prueba y cuales se encuentran pendientes. Como evidencia queda el acta de reunión.</t>
  </si>
  <si>
    <t>Se realizará envío al equipo jurídico de la base de datos de los procesos con etapa proxima a vencer,  dentro del mes siguiente a la ocurrencia de la misma, con la finalidad de revisar las pruebas faltantes. Como evidencia se deja el reporte por mercurio.</t>
  </si>
  <si>
    <t>La no contestaciòn oportuna de derechos de petición.</t>
  </si>
  <si>
    <t>Alto volumen de expedientes y excesiva carga laboral</t>
  </si>
  <si>
    <t>Posibilidad de pérdida reputacional por la no contestación oportuna de los derechos de petición debido a la sobrecarga laboral y al alto volumen de expedientes.</t>
  </si>
  <si>
    <t>De manera semanal el profesional de la oficina de Control Interno Disciplinario, solicita a través de correo electronico al grupo juridico el listado de los derechos de petición recibidos. Con el fin de llevar un control oportuno de los mismos. En caso de la no entrega de la inforamación, la Jefe de la oficina realiza requerimiento para que se tramite en el menor tiempo posible. Como evidencia quedan los envios de los correos electronicos y derechos de petición contestados.</t>
  </si>
  <si>
    <t>Se realizará solicitudes a traves de correo electronico de manera semanal al grupo juridico con el objetivo de reportar la cantidad de peticiones recibidasy el avance de las respuestas de las mismas. Como envidencia se dejan las solicitudes enviadas a traves del correo con su respectivas respuestas</t>
  </si>
  <si>
    <t xml:space="preserve"># 4104
</t>
  </si>
  <si>
    <t>Se realizará reuniones de manera trimestral con le grupo juridico con el objetivo de reportar la cantidad de peticiones recibidas y atendidas oportunamente. Como evidencia queda el acta de reuniòn.</t>
  </si>
  <si>
    <t>Retraso o no reconocimiento en el proceso para el pago de viaticos, debido a la radicación del certificado de permanencia fuera de los terminos.</t>
  </si>
  <si>
    <t>Falsedad o error en el diligenciamiento de la información en el certificado de permanencia 
Demora en la legalización del certificado de permanencia por parte de la Secretria a la que pertenece el comisionado.</t>
  </si>
  <si>
    <t>Posibilidad de perdida reputacional y economica por el retraso o no reconocimiento en el proceso para el pago de viaticos debido  a la radicación del certificado de permanencia, en razón a falsedad o error del diligenciamiento de la información  y/o demora en la legalización del certificado de permanencia por parte de la Secretria a la que pertenece o del comisionado.</t>
  </si>
  <si>
    <t>De manera diaria el auxiliar administrativo  de la Dirección de Administración del Talento Humano de la Secretaría de la Función Pública verifica los certificados de permanencia entregados por los funcionarios que realizan la comisión de servicios con el fin de que se encuentren bien diligenciados al encontrar desviaciones Se realiza la devolución cuando el error de diligenciamiento es subsanable de lo contrario procede al no reconocimiento monetario como evidencia queda el  Certificado de permanencia</t>
  </si>
  <si>
    <t xml:space="preserve">Se realizarán  llamadas aleatorias de por lo menos el 5% de las comisiones realizada durante el mes con el fin de verificar  si el funcionario realizo la comisión de servicios la municipio relacionado en el certificado de permanencia. </t>
  </si>
  <si>
    <t>Gueidy Caroline Ulloa Marroquin</t>
  </si>
  <si>
    <t>Auxiliar Administrativo</t>
  </si>
  <si>
    <t>DATH</t>
  </si>
  <si>
    <t xml:space="preserve">Freddy Ballesteros </t>
  </si>
  <si>
    <t xml:space="preserve"># 4107
</t>
  </si>
  <si>
    <t xml:space="preserve">Se realizará capacitación semestral a los enlaces que tramitan las comisiones de servicios  de cada Secretaria con el fin de que el certificado de permanencia quede bien diligenciado y contengan todos los soportes necesarios para el reconocimiento del pago. </t>
  </si>
  <si>
    <t>Deisy Oviedo</t>
  </si>
  <si>
    <t xml:space="preserve"> Difusión de información relacionada con la vinculación a la entidad de personal que no cumple con los requisitos exigidos para el cargo</t>
  </si>
  <si>
    <t>Suministro de información presuntamente falsa al momento de la vinculación</t>
  </si>
  <si>
    <t>Puede suceder que se genere perdidas reputacionales debido a la difusión de información relacionada con la vinculación a la entidad de personal que no cumple con los requisitos exigidos para el cargo dada la presentación de documentación académica y/o laboral  y/o presuntamente falsificada y/o adulterada.</t>
  </si>
  <si>
    <t>El funcionario  de la dirección de Administración de  talento humano encargado de las posesiones, cada vez que va a vincular un funcionario a la planta utiliza el formato "A-GTH-FR-016 Análisis de requisitos" con el fin de contrastar el perfil requerido en el empleo con la hoja de vida y los soportes presentados. En caso de encontrar que el aspirante no cumple con el perfil o los soportes no son suficientes no se realiza la posesión. Como evidencia se deja el formato diligenciado y firmado por el Director de Administración de Talento humano</t>
  </si>
  <si>
    <t xml:space="preserve">Se revisará  la verirficación de la documentación mediante el formato de Análisis de requisitos para el empleo con el objetivo de validar los requisitos para  la posesión del funcionario. En caso de encontrar desviaciones inicia nuevamente el proceso de selección. Como evidencia queda la certificación firmada por el director de Administración de talento Humano. </t>
  </si>
  <si>
    <t xml:space="preserve">Mireya Sànchez </t>
  </si>
  <si>
    <t xml:space="preserve"> # 4105</t>
  </si>
  <si>
    <t>Triestralmente  de manera aleatoria,  el profesional de la Dirección de Administración de Talento Humano para el proceso de vinculación, realiza las solicitudes  de verificación de títulos a las instituciones de educación y a las entidades relacionadas para demostrar experiencia laboral, al 50%  de pesonas viculadas , con el fin de comprobar que los soportes presentados por los funcionarios sean validos. Como evidencia se deja las solicitudes enviadas y  las certificaciones enviadas por las instituciones de educación. En caso de encontrar inconsistencias se da traslado a la Oficina de Control Interno Disciplinario para iniciar los procesos correspondientes.</t>
  </si>
  <si>
    <t>El profesional asignado por la dirección de Administración de Talento Humano  realizará la solictud de la verificación de títulos a las universidades como evidencia las Solicitudes y certificaciones enviadas por las instituciones de educación.</t>
  </si>
  <si>
    <t>Miguel Andres Vargas</t>
  </si>
  <si>
    <t>La presentación de quejas del grupo de valor interno</t>
  </si>
  <si>
    <t>La desarticulación entre la identificación de necesidades y el plan de actividades desarrolladas en el programa de bienestar y/o el plan de capacitación que se traduzca en la perdida de compromiso y productividad de los servidores públicos</t>
  </si>
  <si>
    <t>Posibilidad de pérdida reputacional por la presentación de quejas del grupo de valor interno debido a la desarticulación entre la identificación de necesidades y el plan de actividades desarrolladas en el programa de bienestar y/o el plan de capacitación que se traduzca en la perdida de compromiso y productividad de los servidores públicos.</t>
  </si>
  <si>
    <t>Anualmente el director de desarrollo humano formula plan de bienestar e incentivos, el plan de capacitaciones y cronograma de trabajo con base al diagnostico de necesidades y expectativas de los grupos de valor interno para mejorar e impactar positivamente la vida de los servidores y sus familias, así mismo fomentar una cultura organizacional que manifieste en sus servidores un sentido de pertenencia, motivación para el buen desempeño de sus funciones y calidez humana en la prestación de servicios, como evidencia se deja el plan formulado así los soportes de participación en el diagnostico por parte de los servidores públicos, fotos de los eventos de bienestar, y listados de beneficiarios. En caso de encontrar desviaciones en la ejecución del plan, las actividades son reprogramadas.</t>
  </si>
  <si>
    <t xml:space="preserve">El profesional asignado por el Director de Desarrollo Humano  realizará seguimiento a la ejecución del plan de capacitación. Como evidencia quedará el reporte a los indicadores establecidos para el proceso 
El profesional asignado por el Director de Desarrollo Humano  realizará realizará seguimiento a la ejecución el plan de Bienestar estimulos e incentivos . Como evidencia quedará el reporte a los indicadores establecidos para el proceso </t>
  </si>
  <si>
    <t>Luz Marina Sanchez 
Aida Consuelo Gómez</t>
  </si>
  <si>
    <t>Profesional Universitario 219-03
Profesional Especializado 222-06</t>
  </si>
  <si>
    <t xml:space="preserve">Direccion de Desaarrollo Humano </t>
  </si>
  <si>
    <t>Jenny Catalina Gonzalez S</t>
  </si>
  <si>
    <t>29/204/2022</t>
  </si>
  <si>
    <t xml:space="preserve"># 4106
</t>
  </si>
  <si>
    <t>Aplicar Semestral  la herramienta diseñada para la evaluación del impacto tanto de las actividades de bienestar e incentivos como de capacitaciones ejecutadas, las cuales deberán ser consolidadas en un reporte que se deberá comunicar al Director de Desarrollo y a la alta dirección en el marco del Comité de Gestión y Desempeño para los correctivos necesarios.</t>
  </si>
  <si>
    <t xml:space="preserve">El profesional asignado por el Director de Desarrollo Humano  realizará  Elaborará  el Informe del Impacto de las las actividades de bienestar e incentivos como de capacitaciones ejecutadas </t>
  </si>
  <si>
    <t>Profesional Universitario 219-03
Profesional Especializado 222-07</t>
  </si>
  <si>
    <t>Fallos condenatorios en contra de la entidad.</t>
  </si>
  <si>
    <t>Incumplimiento de los términos establecidos en la ley, por la inoportuna o falta de entrega de las pruebas, por parte de las respectivas dependencias, dificultando la defensa de los intereses de la entidad.</t>
  </si>
  <si>
    <t xml:space="preserve">Posibilidad de afectación económica y reputacional,                                                       por fallos condenatarios en contra de la entidad, debido al incumplimiento de los términos establecidos en la ley, por la inoportuna o falta de entrega de las pruebas, por parte de las respectivas dependencias, ocasionando una indebida defensa.                      </t>
  </si>
  <si>
    <t>El Director de Defensa Judicial y Extrajudicial,  designa a un profesional del área para que realice permanente control y seguimiento  a los requerimientos de pruebas y evidencias probatorias,  efectuados a las dependencias, para ejercer una debida defensa que corresponda a altos estandares de calidad y eficacia, a través de herramienta tecnológica definida para tal fin que permita evidenciar el trámite.Evidencia:Registro cuadro excel diliigenciado que arroja el aplicativo mercurio. En el evento en que ocurra una contingencia o no se pueda realizar el control a travès de mercurio, se acude al correo electronico institucional dejando la evidencia en carpeta digital.</t>
  </si>
  <si>
    <t>Generar copia de los requerimientos al funcionario designado para el control y seguimiento y obtener en tiempo el material probatorio solicitado, a través de los diferentes canales dispuestos para el efecto. Evidencia  cuadro excel diligenciado que arroja mercurio o correo electrónico.
Indicador: No.de requerimientos efetuados a las dependencias/No.de respuestas de las  dependencias en oportunidad, con medición trimestral.</t>
  </si>
  <si>
    <t>Lidia Omaira  Rodríguez Daza</t>
  </si>
  <si>
    <t>Dirección de Defensa Judicial y Extrajudicial</t>
  </si>
  <si>
    <t>María Stella González Cubillos</t>
  </si>
  <si>
    <t>Sanciones disciplinarias, fiscales, administrativas y penales para la entidad y los servidores públicos.</t>
  </si>
  <si>
    <t>Desacato de las ordenes judiciales impartidas por el operador judicial,  por parte de los funcionarios de las dependencias a cargo.</t>
  </si>
  <si>
    <t>Posibilidad de afectación económica y reputacional,  por sanciones disciplinarias, fiscales, administrativas y penales para la entidad  y los funcionarios de las dependencias a cargo, por desacato de las ordenes judiciales impartidas por el operador judicial.</t>
  </si>
  <si>
    <t>El Director de Defensa Judicial y Extrajudicial, dando cumplimiento al Procedimiento de Procesos Judiciales Código: A-GJ-PR-002 , notificado el fallo desfavorable , a través del  apoderado judicial profiere requerimiento y de ser necesario convoca a mesa de trabajo a la dependencia a cargo del cumplimiento, a fin de que suministre los insumos, liquidaciones y demás para emitir el acto administrativo de ejecución y pago dentro de los términos legales establecidos. Evidencia oficio y/o acta..   Cuando no ocurre el control, se recurre a la revisión aleatoria del SIPROJ y Rama Judicial.</t>
  </si>
  <si>
    <t>Comunicada la sentencia, se procede a realizar requerimientos y de ser el caso mesas de trabajo ,con el fin de generar las liquidaciones correspondientes, para el reconocimiento y pago de la providencia judicial. 
Evidencia: Oficio y/o acta.
Se realiza siempre cada vez que se notifique el fallo desfavorable.</t>
  </si>
  <si>
    <t>María Stella Gonzalez Cubillos y apoderados judiciales</t>
  </si>
  <si>
    <t xml:space="preserve">Director Defensa Judicial y apoderados judiciales </t>
  </si>
  <si>
    <t>31  de diciembre de 2022</t>
  </si>
  <si>
    <t>No conseguir los recursos financieros suficientes para la optima operación de la Gobernación</t>
  </si>
  <si>
    <t xml:space="preserve">Falta de cultura tributaria que conlleva al no pago de la obligación.
Escasa información sobre los canales virtuales dispuestos por la entidad para el recaudo de los tributos departamentales.
</t>
  </si>
  <si>
    <t>Posibilidad de afectación económica porque no se  consigan los recursos financieros suficientes para la óptima operación de la Gobernación, debido a la falta de cultura tributaria que conlleva al no pago de la obligación por la escasa información sobre los canales virtuales dispuestos por la entidad para el recaudo de los tributos departamentales</t>
  </si>
  <si>
    <t>La Secretaria de Hacienda en conjunto con el director de rentas y el subdirector de atención al contribuyente elaboran el plan de medios con la Secretaría de Prensa, al cual se le hace seguimiento trimestral, con el fin de informar al contribuyente frente a los aspectos de cada uno de los impuestos, por ello para mejorar el recaudo se implementan estrategias enfocadas a: redes sociales, medios publicitarios impresos, WhatsApp, llamadas  telefónicas, correos electrónicos, radio y prensa impresa.  En caso de encontrar inconsistencias se reúnen los interesados y se envía a la Secretaría de Prensa las observaciones encontradas a través de correo electrónico institucional.</t>
  </si>
  <si>
    <t>Realizar seguimiento trimestral, determinando resultados obtenidos por la divulgación del plan de medios en cada uno de los periodos evaluados.</t>
  </si>
  <si>
    <t xml:space="preserve">Carlos Arturo Ballesteros </t>
  </si>
  <si>
    <t>Subdirector técnico</t>
  </si>
  <si>
    <t xml:space="preserve">Subdirección de atención al contribuyente </t>
  </si>
  <si>
    <t>Eduber Rafael Gutierrez Torres</t>
  </si>
  <si>
    <t>Por la falta de cultura tributaria y recaudo departamental el subdirector de fiscalización semestralmente verifica que las metas descritas en los programas que se encuentran plasmados en el plan de fiscalización se estén cumplimiento con el fin de que si existe algún tipo de desviación en su ejecución se pueda corregir y reprogramar lo cual se puede evidenciar en los seguimientos semestrales que se miden a través del indicador ejecución plan de fiscalización.</t>
  </si>
  <si>
    <t xml:space="preserve">Realizar informe trimestral de las actividades que realiza el grupo de fiscalización operativa </t>
  </si>
  <si>
    <t xml:space="preserve">Yenny Alejandra Rodriguez Mora </t>
  </si>
  <si>
    <t>Subdirección de fiscalización</t>
  </si>
  <si>
    <t>Para la verificación del pago del impuesto por parte de entidades externas que deben validar el pago del impuesto para proceder a realizar el correspondiente registro el subdirector de fiscalización semestralmente verifica que las metas descritas en los programas que se encuentran plasmados en el plan de fiscalización se estén cumplimiendo con el fin de que si existe algún tipo de desviación en su ejecución se pueda corregir y reprogramar lo cual se puede evidenciar en los seguimientos semestrales que se miden a través del indicador ejecución plan de fiscalización.</t>
  </si>
  <si>
    <t>Limitación en el seguimiento de los procesos administrativos</t>
  </si>
  <si>
    <t>Excesivo volumen de información y fallas en la unificación de expedientes de la dirección de ejecuciones fiscales y posibles delitos cibernéticos.</t>
  </si>
  <si>
    <t xml:space="preserve">Posibilidad de afectación económica y reputacional por la limitación en el seguimiento de los procesos administrativos debido al excesivo volumen de información y fallas en la unificación de expedientes y posibles delitos cibernéticos.
</t>
  </si>
  <si>
    <t>El funcionario encargado del área de gestión documental de la Dirección de Ejecuciones Fiscales, mensualmente revisa  los actos administrativos, solicitudes y respuestas  que deben ser digitalizados, impresos e insertados en cada expediente de acuerdo a norma archivística, por tratarse de un proceso de cobro coactivo administrativo debe reposar como medio de prueba y debido proceso los actos administrativos y respuestas en cada expediente, en caso de evidenciar falta de algún documento comunica mediante informe al jefe inmediato y solicitar al funcionario encargado del tema,  completar la información según acta.</t>
  </si>
  <si>
    <t>Realizar el cargue organizado de la digitalización de expedientes de vehículos del área de archivo al sistema de Información UT SOF vehículos, dejando como evidencia el avance en la implementación de consulta en línea del expediente de cobro coactivo.</t>
  </si>
  <si>
    <t>Luis Augusto Ruiz Quiroga</t>
  </si>
  <si>
    <t>Director Ejecuciones Fiscales</t>
  </si>
  <si>
    <t>Dirección de Ejecuciones Fiscales</t>
  </si>
  <si>
    <t>La persona encargada de reparto en la Dirección de Ejecuciones Fiscales, revisa mensualmente la base de gestión de la dirección y evidencia la cantidad de solicitudes y respuestas que se han realizado por el sistema documental mercurio y el correo electrónico, comprueba que se esté dando en tiempo de acuerdo a normatividad legal vigente, en caso de encontrar desviaciones, estas se informan al director mediante escrito con el fin de subsanar y dar respuesta al usuario o contribuyente.</t>
  </si>
  <si>
    <t>Implementar la revisión mensual de la fecha de reparto y tiempo de sustanciación dejando como evidencia correos electrónicos enviados y tablas en Excel del análisis de las solicitudes realizadas por usuarios y contribuyentes a ala dirección de ejecuciones fiscales</t>
  </si>
  <si>
    <t>El director de Ejecuciones Fiscales realiza reuniones trimestrales con todo su equipo para verificar la ejecución de los procedimientos internos, las cuales buscan mejorar el proceso de cobro coactivo, identificando las fallas y mediante acta crear los compromisos y conclusiones necesarios para su mejora, de existir alguna desviación se tomarán las medidas necesarias para su corrección, lo cual quedara registrado en las actas de reunión.</t>
  </si>
  <si>
    <t>Realizar un Plan detallado de trabajo PDT informarlo de forma periódica su avance involucrando a todo el equipo de la Dirección de Ejecuciones fiscales dejando como soporte el avance en el PDT en Excel, así como el medio por el cual se dio la información.</t>
  </si>
  <si>
    <t>El director de Ejecuciones Fiscales y el director de Rentas y Gestión Tributaria realizan las solicitudes para la implementación de estrategias informáticas a la secretarias de las TIC a través de los canales institucionales de manera semestral con el fin de evitar los delitos cibernéticos en los sistemas de información, de existir alguna desviación se tomaran las medidas necesarias para su ajuste y se dejara evidencia ya sea por correo electrónico o mercurio.</t>
  </si>
  <si>
    <t xml:space="preserve">Realizar la solicitud de la implementación de estrategias informáticas a la Secretaría de TIC a través de los canales institucionales para evitar los delitos cibernéticos en los sistemas de información.    </t>
  </si>
  <si>
    <t xml:space="preserve">
Eduber Rafael Gutierrez</t>
  </si>
  <si>
    <t xml:space="preserve">
Director de Rentas y Gestión Tributaria</t>
  </si>
  <si>
    <t xml:space="preserve">
Dirección de Rentas y Gestión Tributaria</t>
  </si>
  <si>
    <t xml:space="preserve">No cumplir con los requerimientos de las solicitudes de análisis de los clientes internos y externos del laboratorio de rentas de Cundinamarca </t>
  </si>
  <si>
    <t xml:space="preserve"> Falta de lineamientos e idoneidad  para los peritajes técnicos del laboratorio de rentas de Cundinamarca</t>
  </si>
  <si>
    <t>Posibilidad de afectación económica y reputacional al no cumplir con los requerimientos de las solicitudes de análisis de los clientes internos y externos del laboratorio por falta de lineamientos e idoneidad  para los peritajes técnicos del laboratorio de rentas de Cundinamarca</t>
  </si>
  <si>
    <t>El Director de Rentas y el subdirector de fiscalización anualmente proyectan las necesidades de contratación en el plan anual de adquisiciones, el cual es aprobado por el ordenador del gasto y en donde se garantizan las contrataciones del recurso personal e insumos y equipos que sean necesarios para la correcta ejecución de actividades por parte del laboratorio. Pueden ocurrir desviaciones, en cuanto a la no autorización de los recursos para el laboratorio, en caso tal ,  se realizará nuevamente la gestón para la aprobación de los recursos requeridos para el Laboratorio. Para este control, se tiene como evidencia el plan anual de adquisiciones aprobado, en donde se evidencian las contrataciones y compras que se tienen contempladas para el funcionamiento del laboratorio.</t>
  </si>
  <si>
    <t>Proyección de documentos precontractuales y contractuales para la contratación de personal idóneo en el laboratorio de rentas.</t>
  </si>
  <si>
    <t>Daniel Felipe Torres Tello</t>
  </si>
  <si>
    <t>Profesional universitario</t>
  </si>
  <si>
    <t>Subdirección de Fiscalización</t>
  </si>
  <si>
    <t xml:space="preserve">Yenny Rodriguez </t>
  </si>
  <si>
    <t>El profesional universitario anualmente realiza seguimiento constante a la verificación de metodologías analíticas estandarizadas, para confirmar que las mismas son validas e idóneas para su aplicación. Sin embargo, pueden ocurrir algunas desviaciones por falta de calibración y/o mantenimiento de los equipos del laboratorio, esto se puede mitigar con las comprobaciones intermedias realizadas en el año. Este control se verifica a través de los informes firmados por lo profesionales que participan y elaboran la metodología de verificación analítica.</t>
  </si>
  <si>
    <t>Realizar reportes e informes de validación y/o verificación de las metodologías e instrumentos del laboratorio, en las cuales se evaluarán valores estadisticos, con el fin de  evaluar la correcta aplicación de las metodologías y verificación de la correcta calibración de los equipos.</t>
  </si>
  <si>
    <t>El profesional universitario anualmente proyecta el plan de confirmación metrológica, con el fin de establecer la periodicidad de las calibraciones, verificaciones y mantenimientos de equipos e instrumentos. Sin embargo, puede ocurrir desviaciones por mal uso de los equipos y por falta de recursos para la contratación de los mantenimientos y calibraciones. Asimismo, en caso tal de no poder realizar la contratación de estos servicios, se realizarán verificaciones o comporbaciones intermedias de los equipos. Para este control se tiene como evidencia el plan de confirmación metrológica con el cual se estipulan las fechas de verificación y de intervención por entes externos de los equipos de laboratorio.</t>
  </si>
  <si>
    <t>Realizar reportes de verificación metrológicas de los equipos coherentes a la planeación establecida en el plan de confirmación metrológica.  Realizar revisión de los certificados de calibración recibidos por terceros.</t>
  </si>
  <si>
    <t xml:space="preserve">1. Reprocesos administrativos
2. Sanciones disciplinarias
3. Sanción pecuniaria </t>
  </si>
  <si>
    <t>1. El proceso no cuenta con personal idóneo para el desarrollo de las actividades de Gestión documental de la Entidad.
2. El desconocimiento  de la aplicación de los instrumentos archivísticos afecta el proceso.
3. No implementación del Sistema integrado de conservación                             
4. La no aplicación de  instrumentos archivísticos</t>
  </si>
  <si>
    <t>Posibilidad de afectación económica y reputacional por sanciones disciplinarias y pecuniarias debido a  reprocesos administrativos, perdida de información que se encuentre bajo custodia y administración en los archivos de gestión y archivo central.</t>
  </si>
  <si>
    <r>
      <t>Los funcionarios de la Dirección de Gestión  Documental  programa trimestralmente asistencias técnicas  a las dependencias del Sector Central de la Gobernación cubriendo el 100% de las dependencias en el año, la cual se desarrolla mediante reunión (presenciales o virtuales) a los funcionarios del sector central, con el fin de socializar el conocimiento de los procedimientos de la dirección  y su respectiva documentación, en caso de que alguna dependencia cancele se reprogramará para el trimestre siguiente.</t>
    </r>
    <r>
      <rPr>
        <sz val="9"/>
        <color rgb="FFFF0000"/>
        <rFont val="Arial Narrow"/>
        <family val="2"/>
      </rPr>
      <t xml:space="preserve"> </t>
    </r>
  </si>
  <si>
    <t xml:space="preserve">El responsable programara dos (2) capacitaciones en el año dirigidas a los responsables de los archivos de gestión con el fin de apropiar  el conocimiento y dar lineamientos de los programas de archivo. (Evidencia: convocatoria y listas de asistencia) </t>
  </si>
  <si>
    <t>Jhon Alexis Castro Sierra</t>
  </si>
  <si>
    <t xml:space="preserve">Técnico Operativo </t>
  </si>
  <si>
    <t>Dirección de Gestión Documental</t>
  </si>
  <si>
    <t xml:space="preserve">Martha Elena Rodríguez
Directora Gestión Documental </t>
  </si>
  <si>
    <t>14 de mayo de 2022</t>
  </si>
  <si>
    <t xml:space="preserve">#4118
</t>
  </si>
  <si>
    <r>
      <t>Los funcionarios de la Dirección de Gestión  Documental  realizan visita de acuerdo con la programación trimestral , aplicando el formato A-GD-FR-011  Verificación de Aplicación de las Tablas de Retención Documental , con el objetivo de validar el cumplimiento  de la Ley 594 de 2000 y la implementación de los instrumentos archivísticos, en caso de que alguna dependencia tenga un bajo porcentaje, se programa para fortalecer los conocimientos archivísticos mediante una asistencia técnica.</t>
    </r>
    <r>
      <rPr>
        <sz val="9"/>
        <color rgb="FFFF0000"/>
        <rFont val="Arial Narrow"/>
        <family val="2"/>
      </rPr>
      <t xml:space="preserve"> </t>
    </r>
  </si>
  <si>
    <t xml:space="preserve">El responsable articulará la Dirección de Gestión Documental con la oficina de control interno para la revisión del cumplimiento de la política de gestión documental, generando comunicaciones a las dependencias del sector central de la Gobernación para informar:
1) Cronograma trimestral de visita a las dependencias del sector central
2) Oficio donde se informa el resultado de la visita
3) Oficio trimestral donde se evidencia el resultado general de las visitas
(Evidencia: Tres (3) Oficios realizados ) </t>
  </si>
  <si>
    <t>Los Gestores Documentales de la Gobernación de Cundinamarca solicitan mensualmente a la supervisora del contrato de aseo  de la Gobernación de Cundinamarca realizar jornada de aseo general implementando el formato A-GD-FR- 020 "Seguimiento de limpieza en areas de archivo" en los depósitos de archivo, esto para el control de los diferentes agentes, toda vez que unas condiciones adecuadas de limpieza contribuyen al control de la proliferación de microorganismos e infestación de insectos o roedores, en caso de no realizar esta jornada se notificará al supervisor del contrato para un nuevo agendamiento.</t>
  </si>
  <si>
    <t>El responsable generará un comunicado a la inmobiliaria notificando que la actividad no se ejecuto y posteriormente se capacitara al personal para la implementación del sistema integrado de conservación (Evidencia: Comunicado)</t>
  </si>
  <si>
    <t>La Secretaria General  celebra un contrato para que realice una desinfección especializada en las áreas y documentos de archivo  de la entidad una vez al año, con el fin de  controlar los agentes biológicos, los cuales pueden ser causantes no solo de deterioro en los soportes documentales  sino de salud del personal de la Gobernación. En caso de no poder contratar se debe garantizar la contratación en el menor tiempo posible del año siguiente.</t>
  </si>
  <si>
    <t>El responsable realizará todas las gestiones para la contratación de una Entidad especializada en desinfección de archivos  la cual se debe hacer una vez al año con el fin de evitar el deterioro documental por la presencia de agentes biológicos en los mismos. Evidencia: (Contrato e informe de supervisión)</t>
  </si>
  <si>
    <t xml:space="preserve">Secretaria General </t>
  </si>
  <si>
    <t xml:space="preserve">Evelia Escobar Perdigón </t>
  </si>
  <si>
    <t>Los funcionarios de la Dirección de Gestión Documental revisan las unidades de conservación almacenadas identificando las que están deterioradas y se procede a realizar el re almacenamiento que consiste en cambiar cajas, carpetas, rótulos  y retiro  de material metálico con el fin de conservar la documentación y preservar la memoria institucional de la Gobernación, esta actividad se desarrolla semanalmente y se debe entregar informe trimestral al técnico de la dirección con los avances respectivos. En caso de no realizar el control se procedera a activar una jornada de asistencia técnica en la cual se propenderia a desarrollar la actividad.</t>
  </si>
  <si>
    <t xml:space="preserve">El responsable realizará una jornada de asistencias técnicas a los gestores documentales especificando y orientando como se debe realizar el almacenamiento y re almacenamiento. (Evidencia: listado de asistencia, acta)  </t>
  </si>
  <si>
    <t xml:space="preserve">La Dirección de Gestión Documental mediante programación trimestral verifica la implementación de los instrumentos archivísticos en las dependencias del sector central,  aplicando los formatos de control documental, en caso de  encontrar inconsistencia se deja registrado en el ítem de compromisos los cuales se validan previamente a  la transferencia documental. </t>
  </si>
  <si>
    <t>El responsable realizará asistencias técnicas sobre la implementación de los instrumentos archivisticos. (Evidencia Listado de asistencia, acta)</t>
  </si>
  <si>
    <t>Sanciones, multas o intereses realizadas por las diferentes entidades</t>
  </si>
  <si>
    <t xml:space="preserve">Debido al no pago oportuno en las fechas establecidas del impuesto predial
Los municipios del Departamento al realizar el envió de la facturación del impuesto predial aplican los porcentajes de propiedades para los predios y estos  deben ser aplicados por el Departamento posterior a obtener la certificación de predial para pago de impuestos A- GRF- FR - 011 cuando así se requiere. </t>
  </si>
  <si>
    <t xml:space="preserve">Posibilidad de afectación económica por Sanciones, multas o intereses; realizados por las diferentes entidades debido al no pago oportuno del impuesto predial en las fechas establecidas, y la no aplicación correcta del porcentaje de la propiedad. </t>
  </si>
  <si>
    <t xml:space="preserve">La auxiliar administrativa grado 04 realiza solicitud semestral por medio de oficio y/o correo electrónico a los municipios  del envío de paz y salvo del  pago de impuesto predial, el cual se encuentra relacionado en el indicador de eficiencia en la oportunidad de gestión para el pago de impuestos </t>
  </si>
  <si>
    <t xml:space="preserve">La auxiliar administrativo grado 04  en apoyo de contratistas de la Dirección de Servicios Administrativos de la Secretaría General, realizará la verificación semestral de cada uno de los correos electrónicos de los municipios, con el objetivo de solicitar oportuna y correctamente el paz y salvo de impuesto predial a nombre del departamento, en caso de que no se realice el cargue al corte del semestre la información deberá ser cargada, dentro de los 15 primeros días hábiles del siguiente mes. 
</t>
  </si>
  <si>
    <t xml:space="preserve">Diana Patricia Sanchez Baron </t>
  </si>
  <si>
    <t>Auxiliar administrativo Grado 04</t>
  </si>
  <si>
    <t xml:space="preserve">Dirección de Servicios Administrativos </t>
  </si>
  <si>
    <t xml:space="preserve">Sandra Cecilia Riveros Moreno </t>
  </si>
  <si>
    <t xml:space="preserve">La auxiliar administrativa grado 04  realiza un Informe trimestral del ahorro por pronto pago de impuestos con la finalidad de  identificar los predios y/o municipios a los cuales se les realizo el pago y el valor que se logro ahorrar por dicho concepto </t>
  </si>
  <si>
    <t xml:space="preserve">El auxiliar administrativo grado 04  en apoyo de contratistas de la Dirección de Servicios Administrativos de la Secretaría General, realizará en el primer trimestre del año la validación de que cada factura enviada por los municipios que este al 100% del impuesto predial, con el fin de aplicar de manera correcta el  porcentaje de la propiedad del Departamento, luego de recibir la certificación de la Dirección de bienes e inventarios, en caso de que no se realice el cargue al corte del semestre la información deberá ser cargada, dentro de los 15 primeros días hábiles del siguiente mes. </t>
  </si>
  <si>
    <t xml:space="preserve">Falencias en el cumplimiento de los objetivos de la administración Departamental </t>
  </si>
  <si>
    <t xml:space="preserve">
Debido a que no se cumpla  las comisiones asignadas a los conductores del PULL de la Secretaria General 
</t>
  </si>
  <si>
    <t>Posibilidad de afectación reputacional por falencias en el cumplimiento de los objetivos de la administración Departamental, debido a que no se cumplan  las comisiones asignadas a los conductores del  PULL de la Dirección de Servicios Administrativos de la Secretaria General.</t>
  </si>
  <si>
    <t xml:space="preserve">El auxiliar administrativo grado 09 emite  una circular anual  para recordar el cumplimiento del Decreto Departamental del 00055 del   27 de Abril  2006, por el cual se establece  el procedimiento para conferir las comisiones de servicio, reconocimiento de viáticos y gastos de transportes y se dictan otras disposiciones para los servidores públicos del sector central, realizando la claridad de que se tiene en consideración que se encuentran casos excepcionales de acuerdo a las contingencias que se puedan presentar y no dependen directamente de la  de la administración publica Departamental.
 El auxiliar administrativo grado 09, realiza un reporte trimestral de las comisiones que se extrae del aplicativo NOM PLUS, con la finalidad de contar con la trazabilidad de las comisiones solicitadas y cumplidas. </t>
  </si>
  <si>
    <t xml:space="preserve">Mensualmente el auxiliar administrativo grado 09 realizara el cargue de documento excel donde se evidencie el cumplimiento de la comisión, con el objetivo de prestar oportunamente el servicio del PULL de Conductores de la Dirección de Servicios Administrativos de la Secretaría General,  en caso de que la información no sea cargada mensualmente, esta se debe cargar en la semana inmediatamente siguiente al corte de mes. </t>
  </si>
  <si>
    <t>Mauricio Fernandez Dulcey</t>
  </si>
  <si>
    <t>Auxiliar administrativo Grado 09</t>
  </si>
  <si>
    <t xml:space="preserve">Falencias en la información presentada en los formatos de preinspección </t>
  </si>
  <si>
    <t>Debido a que la información reportada en los formatos de chequeos semanales antes de la marcha del vehículo no coincide con el kilometraje real del vehículo, el equipo de carretera y estado mecánico del mismo</t>
  </si>
  <si>
    <t>Posibilidad de afectación económica y reputacional por falencias en la información presentada en los formatos de chequeo semanal antes de la marcha del vehículo, debido a que la información no coincide con el kilometraje real del vehículo, el equipo de carretera y el estado mecánico del mismo.</t>
  </si>
  <si>
    <t>El profesional especializado grado 08, gestiona trimestralmente la documentación del parque automotor propiedad del departamento, revisando el 25% del total del parque automotor activo. A través de la revisión de las carpetas de los vehículos, buscando que las carpetas  los vehículos estén actualizadas</t>
  </si>
  <si>
    <t xml:space="preserve">Mensualmente el profesional especializado grado 08, realizará el cruce de la información de kilometraje presentado en los formatos de chequeo semanal antes de la marcha del vehículo versus la información suministrada por la estación de combustible, en caso de que información no se allegue a tiempo por la estación, esta debe ser presentada en la semana siguiente al corte, con el objetivo de llevar un control coherente de la información en un informe presentado. </t>
  </si>
  <si>
    <t xml:space="preserve">Mauricio Jimenez Castillo </t>
  </si>
  <si>
    <t>Profesional Especializado Grado 08</t>
  </si>
  <si>
    <t xml:space="preserve">El profesional especializado grado 08, realiza la construcción de una matriz trimestral con relación a las  solicitudes enviadas a través del correo mantenimiento.vehiculos@cundinamarca.gov.co, buscando garantizar que los vehículos propiedad del Departamento se encuentren en optimas condiciones para su funcionamiento,  la trazabilidad de los mantenimientos se pueden evidenciar en el indicador de mantenimientos realizados a vehículos </t>
  </si>
  <si>
    <t xml:space="preserve">Trimestralmente el profesional especializado grado 08, realizara la revisión del 25% de los vehículos verificando el equipo de carretera , en caso de no se realice la revisión en el trimestre debe sumarse al siguiente reporte, con el objetivo de garantizar el cumplimiento de la ley 769 de 2002, mediante informe, con el fin de completar el 100% de los vehículos del parque automotor durante la vigencia. </t>
  </si>
  <si>
    <t xml:space="preserve">El profesional especializado grado 08, realiza un informe mensual del seguimiento al diligenciamiento de formatos  de preinspecciones  antes de la marcha del vehículo y botiquín mensual,  la trazabilidad de las revisiones se pueden evidenciar en el indicador de porcentaje de vehículos inspeccionados.  </t>
  </si>
  <si>
    <t xml:space="preserve">Cada vez que se solicite el mantenimiento de un vehículo el profesional especializado grado 08, realizara la verificación en sitio de lo solicitado de conformidad con el chequeo semanal antes de la marcha del vehículo presentado, con el objetivo de garantizar que lo requerido corresponde con las necesidades de mantenimiento mecánico del automotor, realizando el cargue de la orden y  solicitud  de mantenimiento. </t>
  </si>
  <si>
    <t>Falencias en la solución de las necesidades y/o requerimientos que se presentan para el mantenimiento de la Infraestructura</t>
  </si>
  <si>
    <t xml:space="preserve">Debido a que los mantenimientos preventivos se programan al inicio de la vigencia y por lo tanto los mantenimientos correctivos se ven perjudicados por la limitación presupuestal   </t>
  </si>
  <si>
    <t xml:space="preserve">Posibilidad de afectación económica y reputacional por falencias en la solución de las necesidades y/o requerimientos que se presentan para el mantenimiento de la Infraestructura debido a que los mantenimientos preventivos se programan al inicio de la vigencia y por lo tanto los mantenimientos correctivos se ven perjudicados por la limitación presupuestal. </t>
  </si>
  <si>
    <t>La  asesora grado 07 del despacho de la Secretaría General reporta bimensualmente el seguimiento a las solicitudes y respuestas de mantenimiento correctivos a infraestructura. A través de la revisión del correo mantenimientoainfraestructura@cundinamarca.gov.co . Para que se dé respuesta a las solicitudes de mantenimiento recibidas.</t>
  </si>
  <si>
    <t>Mensualmente la asesora grado 07 reporta en el formato solicitud  a mantenimientos correctivos de infraestructura código A-GRF-FR-029 los requerimientos allegados al correo mantenimientoainfraestructura@cundinamarca.gov.co. Con el objetivo de evidenciar las acciones tomadas. En el caso de encontrar información faltante se realizara el cargue de la misma en la semana siguiente al corte del mes.</t>
  </si>
  <si>
    <t>Ximena Tafurt</t>
  </si>
  <si>
    <t>Asesor grado 07</t>
  </si>
  <si>
    <t>Anualmente la asesora grado 07, apoya el proceso para la contratación de la bolsa de mantenimiento, con el fin de dar respuesta a  los requerimientos correctivos allegados a través del correo mantenimientoainfraestructura@cundinamarca.gov.co. o por medio del formato solicitud mantenimientos correctivos de infraestructura código A-GRF-FR-029</t>
  </si>
  <si>
    <t>Mensualmente la asesora grado 07  priorizra de acuerdo al componente tecnico de infraestructura, los mantenimeintos correctivos, con el objetivo de dar solucion a los que generen mayor riesgo a la entidad y posteriormente a los faltantes.</t>
  </si>
  <si>
    <t>Afectación de la póliza</t>
  </si>
  <si>
    <t>Perdida de Bienes Muebles</t>
  </si>
  <si>
    <t>Posibilidad de daño económico, por afectación de la póliza, debido a hurto, daño o perdida de los bienes muebles de propiedad del Departamento de Cundinamarca.</t>
  </si>
  <si>
    <t>La Dirección de Bienes e Inventarios reglamenta y aplica el procedimiento "Aseguramiento e indemnización de Bienes Muebles"; con el fin de impartir instrucciones en caso de siniestro.</t>
  </si>
  <si>
    <t>El profesional universitario encargado de seguros deberá semestralmente realizar una socialización del procedimiento y los tiempos en los que se debe reportar el siniestro de un bien mueble.</t>
  </si>
  <si>
    <t>Sandra Liliana Guerra Ramírez</t>
  </si>
  <si>
    <t>Dirección de Bienes e Inventarios</t>
  </si>
  <si>
    <t>Martha Carola Monroy Perilla</t>
  </si>
  <si>
    <t>Cada vez que se presenta un siniestro en una Institución educativa no certificada del Departamento, la  Dirección de Bienes e Inventarios aplica el nuevo procedimiento "Administración de inventarios de instituciones educativas no certificadas del Departamento"; creado con el fin de controlar de manera especifica los siniestros de las instituciones educativas no certificadas del Departamento. Como producto de este se evidencia la certificación de inventario emitida al rector y/o pagador de cada institución educativa; así como, la trazabilidad del trámite del siniestro una vez este es indemnizado</t>
  </si>
  <si>
    <t>La almacenista General del Departamento, socializará semestralmente con cada uno de los rectores el procedimiento establecido para el reporte de siniestro de las instituciones educativas no certificadas del Departamento</t>
  </si>
  <si>
    <t>Erika Liliana Sánchez</t>
  </si>
  <si>
    <t>Almacenista General</t>
  </si>
  <si>
    <t>Riesgos Operativos</t>
  </si>
  <si>
    <t>Falta de Infraestructura física para el Almacenamiento de elementos de consumo de las entidades del Sector Central.</t>
  </si>
  <si>
    <t>Posibilidad de daño reputacional, por riesgos operativos; debido a, falta de infraestructura física adecuada para el almacenamiento de elementos de consumo.</t>
  </si>
  <si>
    <t>La Almacenista General del Departamento junto con los funcionarios del Almacén cada vez que se hace adquisición de insumos, con el fin de evitar riesgos en la salud física de  dichos funcionarios, realiza una selección de los elementos con mayor peso, volumen o dificultad de movilización para ubicarlos en la primera planta, conforme a estos mismos criterios se ubican los elementos restantes en las dos plantas siguientes.</t>
  </si>
  <si>
    <t>La Almacenista General del Departamento, evaluará conforme al histórico de pedidos cuales son los elementos de mayor rotación, peso y volumen y de acuerdo a estos criterios realizará el almacenamiento de los elementos de consumo. Lo anterior, mediante registro fotográfico.
La Almacenista General del Departamento, semestralmente realizará una inspección visual que garantice que los criterios de almacenamiento se cumplan conforme al volumen, peso y rotación de inventarios. Lo anterior,  mediante informes.</t>
  </si>
  <si>
    <t>Falta de identificación de los cambios normativos en el marco ambiental.</t>
  </si>
  <si>
    <t xml:space="preserve">Falta de seguimiento oportuno a entidades reguladoras en cuanto a cambios normativos en el marco ambiental
</t>
  </si>
  <si>
    <t>Posibilidad de afectación económica y reputacional por la falta de identificación y cumplimiento de normas ambientales para los procesos del SIGC</t>
  </si>
  <si>
    <r>
      <t xml:space="preserve">El usuario experto de la Secretaría de la Función Pública del equipo de mejoramiento del proceso de Gestión Ambiental bimensualmente </t>
    </r>
    <r>
      <rPr>
        <sz val="9"/>
        <color rgb="FFFF0000"/>
        <rFont val="Arial Narrow"/>
        <family val="2"/>
      </rPr>
      <t>revisa</t>
    </r>
    <r>
      <rPr>
        <sz val="9"/>
        <color theme="1"/>
        <rFont val="Arial Narrow"/>
        <family val="2"/>
      </rPr>
      <t xml:space="preserve"> las plataformas digitales de las entidades reguladoras en el marco ambiental, con respecto a actualización, derogación y/o creación de normatividad, a través de una de lista de chequeo, con el fin de llevar el seguimiento normativo ambiental para la Gobernación de Cundinamarca y evitar afectaciones economicas y reputacionales.  En caso de presentarse un cambio en alguna norma, se</t>
    </r>
    <r>
      <rPr>
        <sz val="9"/>
        <color rgb="FFFF0000"/>
        <rFont val="Arial Narrow"/>
        <family val="2"/>
      </rPr>
      <t xml:space="preserve"> procede</t>
    </r>
    <r>
      <rPr>
        <sz val="9"/>
        <color theme="1"/>
        <rFont val="Arial Narrow"/>
        <family val="2"/>
      </rPr>
      <t xml:space="preserve"> a </t>
    </r>
    <r>
      <rPr>
        <sz val="9"/>
        <color rgb="FFFF0000"/>
        <rFont val="Arial Narrow"/>
        <family val="2"/>
      </rPr>
      <t xml:space="preserve">eliminar, actualizar o incluir </t>
    </r>
    <r>
      <rPr>
        <sz val="9"/>
        <color theme="1"/>
        <rFont val="Arial Narrow"/>
        <family val="2"/>
      </rPr>
      <t>en el normograma y en la matriz de requisitos legales y otros requisitos. Como registro se deja la lista de chequeo dilgenciada y de ser necesario el normograma y la matriz de requisitos legales y otros requisitos debiamente actualizada.</t>
    </r>
  </si>
  <si>
    <t>Crear lista de chequeo de actualización de normativa ambiental para la Gobernación de Cundinamarca, con el fin de realizar seguimientos bimensuales a la normatividad  publicada en las páginas web de las entidades reguladoras competentes en el marco ambiental.</t>
  </si>
  <si>
    <t>Angie Julieth Moncada Parra</t>
  </si>
  <si>
    <t>Secretaría de la Función Pública - Dirección Desarrollo Organizacional</t>
  </si>
  <si>
    <t>01 de mayo de 2022</t>
  </si>
  <si>
    <t xml:space="preserve">4045
</t>
  </si>
  <si>
    <t>El usuario experto de la Secretaría de la Función Pública del equipo de mejoramiento del proceso de Gestión Ambiental, convoca y realiza, cada vez que se identifique un incumplimiento normativo ambiental, una mesa de trabajo conjunta con las partes interesadas, involucradas en la modificación, actualizacion, creacion y/o derogación de normatividad ambiental con el fin de dar cumplimiento a la misma; mediante la planificación y ejecución de un plan de acción dentro de los plazo definidos por las entidades de control. Dado el caso de impuesta la sanción se procede a realizar los trámites pertinentes ante la entidad de control y ejecutar el plan de acción definido para corregir y dar cumplimiento a la normatividad. Como evidencia se dejan las actas de reunión de la mesa de trabajo, comunicados y soportes de trámites ante las entidades de control.</t>
  </si>
  <si>
    <t xml:space="preserve">Realizar mesas de trabajo con las partes interesadas involucradas con el cumplimiento normativo ambiental para gestionar un plan de contingencia que permita identificar y planificar la ruta a seguir en caso que se materialice el riesgo con el fin de mitigar el impacto económico y reputacional </t>
  </si>
  <si>
    <t>Omar Roncancio Riaño</t>
  </si>
  <si>
    <t>Desconocimiento de las directrices impartidas por la líder del proceso para orientar las evaluaciones y asesorías que hace el proceso
Información de evaluación del SCI desarticulada o no centralizada
Inadecuadas metodologías del proceso de evaluación y seguimiento
Personal sin conocimientos sólidos en temas de control interno
Actualización no oportuna en normatividad o metodologías relacionadas con el control interno</t>
  </si>
  <si>
    <t xml:space="preserve">Normatividad sin claridad o desarrollo suficiente para darle aplicabilidad.
Modificación de la normatividad y manuales técnicos que emite el DAFP en relación al MIPG y SCI.
Escasos recursos (financieros, talento humano, tecnológicos) para operación del proceso
Baja disponibilidad de tiempo, de los funcionarios que desarrollan el proceso, para socializar los cambios que se dan en el mismo
Baja disponibilidad de tiempo de los integrantes del equipo de mejoramiento para hacer ajustes al proceso
Insuficiencia de herramientas tecnológicas para el manejo de la información del proceso.
Asignación de contratistas sin conocimientos en temas específicos de control interno
Alta rotación de contratistas de control interno que interumpe los procesos en desarrollo
</t>
  </si>
  <si>
    <t>Posibilidad de prestar servicios de consultoría que no generan valor a las partes interesadas por conceptos o análisis erroneos debido a desconocimiento del proceso o dependencia asesorada, de las directrices emitidas por la Jefe de Oficina de Control Interno, del SCI o MIPG, o del tema sobre el cual se está consultando</t>
  </si>
  <si>
    <r>
      <rPr>
        <b/>
        <sz val="9"/>
        <color rgb="FF000000"/>
        <rFont val="Arial Narrow"/>
      </rPr>
      <t xml:space="preserve">EVALUACIÓN DE SATISFACCIÓN
</t>
    </r>
    <r>
      <rPr>
        <sz val="9"/>
        <color rgb="FF000000"/>
        <rFont val="Arial Narrow"/>
      </rPr>
      <t>1) La jefe de oficina de control interno
2) En cada comité institucional de coordinación de control interno (ordinario)
3) Evalúa la satisfacción de los integrantes del comité frente a los resultados de las evaluaciones realizadas por el proceso
4) Mediante la aplicación de una encuesta y posterior socialización de resultados con el equipo de trabajo del proceso
5) En caso de encontrar puntos de insatisfacción, se realiza una retroalimentación con el equipo de trabajo del proceso y se proponen las mejoras pertinentes
6) Encuestas realizadas, acta de reunión del equipo del proceso (si aplica)</t>
    </r>
  </si>
  <si>
    <t xml:space="preserve">Documentar las actividades de evaluación de la satisfacción  en el proceso de evaluación y seguimiento.
 Evidencia: Procedimientos actualizados que incluyen evaluacion de satisfacción. </t>
  </si>
  <si>
    <t>Hernan Dario Cruz</t>
  </si>
  <si>
    <t>Oficina de Control Interno</t>
  </si>
  <si>
    <t>Yoana Marcela Aguirre</t>
  </si>
  <si>
    <t>31/12/2022</t>
  </si>
  <si>
    <r>
      <rPr>
        <b/>
        <sz val="9"/>
        <color rgb="FF000000"/>
        <rFont val="Arial Narrow"/>
      </rPr>
      <t xml:space="preserve">MONITOREO A LOS CAMBIOS
</t>
    </r>
    <r>
      <rPr>
        <sz val="9"/>
        <color rgb="FF000000"/>
        <rFont val="Arial Narrow"/>
      </rPr>
      <t>1) El Equipo de mejoramiento
2) Cada vez que se presente modificación en metodologías o normatividad
3) Actualiza las metodologías del proceso mediante la actualización de la documentación en ISOLUCION y las ayudas audiovisuales en el tren del conocimiento
4) Comunica a los colaboradores asignados a la OCI las actualizaciones a través de reuniones o comunicaciones oficiales e  invita a la revisión del tren del conocimiento conocimiento y verifica las visitas al blog
5) Evalua la calidad de los contenidos en el blog y la apropiacion del conocimiento mediante evaluacion de conocimientos adquiridos a los funcionarios y contratistas de la Oficina de Control Interno
6) Actas de reunión, documentación del proceso actualizada y tren del conocimiento actualizado</t>
    </r>
  </si>
  <si>
    <t>Analizar los resultados de las evaluaciones de los temas socializados  en el tren de conocimiento, en caso que el resultado general de la evaluacion sea inferior al 80% se hará una nueva socialización haciendo enfasis en los temas en los cuales se identificaron debilidades.
Eviencia:  Resultado consolidado  de evaluaciones con análisis y conclusiones</t>
  </si>
  <si>
    <t>Incumplimiento de los plazos del plan de acción
Errores en los informes
Análisis de resultados que no se ajustan a los criterios de evaluación
Evaluaciones de lineamientos del  Sistema de Control Interno sin profuncidad
Dificultades para el acceso a la información de la gestión de los procesos</t>
  </si>
  <si>
    <t xml:space="preserve">Baja disponibilidad de tiempo del personal para el desarrollo de actividades de control interno
Barreras de acceso a la información relacionada a temas de la oficina de control interno que manejan entes externos (SIA CONTRALORIAS, SIRECI, SIA OBSERVA)
Baja efectividad de la comunicación de la oficina de control interno con algunas dependencias
Normatividad sin claridad o desarrollo suficiente para darle aplicabilidad
Asignación de contratistas sin conocimientos en temas específicos de control interno
Alta rotación de contratistas de control interno que interumpe los procesos en desarrollo
</t>
  </si>
  <si>
    <t>Posibilidad de perdida de confianza en el proceso de Evaluación y Seguimiento por brindar un falso aseguramiento del Sistema de Control Interno debido al incumplimiento de las actividades,  errores en los informes y análisis que no tengan o no se ajustan a criterios de evaluación, evaluaciones inoportunas o sin profuncidad, falta de información de la gestión de los procesos evaluados, o inadecuadas metodologías de evaluación y seguimiento</t>
  </si>
  <si>
    <r>
      <rPr>
        <b/>
        <sz val="9"/>
        <color rgb="FF000000"/>
        <rFont val="Arial Narrow"/>
      </rPr>
      <t xml:space="preserve">SEGUIMIENTO AL PLAN DE ACCIÓN:
</t>
    </r>
    <r>
      <rPr>
        <sz val="9"/>
        <color rgb="FF000000"/>
        <rFont val="Arial Narrow"/>
      </rPr>
      <t>1) El profesional asignado por la Jefe de Oficina de Control Interno
2) La primera semana de cada mes. 
3) Verifica que se estén ejecutando las tareas asignadas a cada funcionario o si se reportan novedades de personal
4) De acuerdo al reporte de ejecución de actividades hace cada facilitador de los equipos de trabajo
5) En caso de evidenciar actividades sin reportes se solicita al funcionario encargado completar la información, si se evidencian actividades no ejecutadas o novedades de personal se informa a la jefe de control interno mediante correo electrónico y en comité primario se hacen los ajustes en tiempo o responsable
6) Matriz de plan de acción del proceso, correos electrónicos y actas de reunión de comité primario</t>
    </r>
  </si>
  <si>
    <t xml:space="preserve">SEGUIMIENTO A PLAN DE ACCION: Los facilitadores de cada rol de la OCI mensualmente realizarán seguimiento al Plan de Accion de su grupo especifico, dejando evidencia en el excel de plan de accion y en correo enviado a la persona designada por la jefe de oficina para  la  consolidación de este. </t>
  </si>
  <si>
    <t>30/05/2022</t>
  </si>
  <si>
    <r>
      <rPr>
        <b/>
        <sz val="9"/>
        <color rgb="FF000000"/>
        <rFont val="Arial Narrow"/>
      </rPr>
      <t xml:space="preserve">VALIDACION DE PLANEACIÓN DE AUDITORIAS:
</t>
    </r>
    <r>
      <rPr>
        <sz val="9"/>
        <color rgb="FF000000"/>
        <rFont val="Arial Narrow"/>
      </rPr>
      <t>1) El equipo auditor realiza una reunion de entendimiento.
2) Cada vez que se va a fectuar una auditoria . 
3) Valida que la planeacion inicial corresponda con las actividades, plane o proyectos  que se realizan en la unidad auditada 
4)   En caso de encontrar debilidades, se haran ajustes a la planeación.
6) Acta de reunión</t>
    </r>
  </si>
  <si>
    <t xml:space="preserve">REVISIÓN DE PLANEACIÓN DE INFORMES:
Cada vez que se va a realizar una auditoria o un informe se  realizará mesa tecnica de evaluacion y seguimiento, donde se   verificará que  la planeación del informe este de acuerdo a las metodologías definidas,las directrices de la Jefe de Oficina y basado en los procedimientos de auditorías internas e informes,  si es necesario se realizaran los ajustes definidos en la mesa técnica y se deja  acta de reunión.
</t>
  </si>
  <si>
    <r>
      <rPr>
        <b/>
        <sz val="9"/>
        <color rgb="FF000000"/>
        <rFont val="Arial Narrow"/>
      </rPr>
      <t xml:space="preserve">REVISIÓN DE INFORMES E INFORMES FINALES DE AUDITORIA:
</t>
    </r>
    <r>
      <rPr>
        <sz val="9"/>
        <color rgb="FF000000"/>
        <rFont val="Arial Narrow"/>
      </rPr>
      <t xml:space="preserve">1) El lider de auditoria o evaluador de informes
2) Antes de emitir la versión final de un informe para mesa técnica
3) Revisa que se haya dado cumplimiento a la planeación establecida para la auditoria o  informe.
4) De acuerdo a los criterios de evaluación definidos a nivel normativo, de SCI, de MIPG, de riesgos, y las directrices impartidas por la jefe de la oficina para realizarlo.
5) En caso de encontrar inconsistencias, información incompleta o resultados de evaluación sin mencionar los debidos soportes,  se solicitarán los ajustes a los auditores o se harán los ajustes necesarios
6) Informe preliminar   </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</si>
  <si>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</si>
  <si>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r>
      <rPr>
        <b/>
        <sz val="9"/>
        <color rgb="FF000000"/>
        <rFont val="Arial Narrow"/>
      </rPr>
      <t xml:space="preserve">SEGUIMIENTO A LA SOLICITUD DE INFORMACIÓN
</t>
    </r>
    <r>
      <rPr>
        <sz val="9"/>
        <color rgb="FF000000"/>
        <rFont val="Arial Narrow"/>
      </rPr>
      <t>1) El profesional asignado para la elaboración del informe
2) Cada vez que realice una solicitud de información
3) Verifica que la información haya sido entregada dentro del plazo y que la misma este completa
4) de acuerdo a la solicitud de información realizada previamente
5) En caso de encontrar que la información no fue entregada o está incompleta, se informa a la Jefe de Oficina para que se comunique con el secretario y se establece un nuevo plazo de 2 días, y en caso de evidenciarse un nuevo incumplimiento se comunica a la jefe de oficina para que se informe la situación al gobernador
6) Correo electrónico de estado de entrega de información y comunicaciones de solicitud adicional (si aplica)</t>
    </r>
  </si>
  <si>
    <r>
      <rPr>
        <b/>
        <sz val="9"/>
        <color rgb="FF000000"/>
        <rFont val="Arial Narrow"/>
      </rPr>
      <t>SOCIALIZACIÓN DE RESULTADOS CON LA UNIDAD AUDITADA</t>
    </r>
    <r>
      <rPr>
        <sz val="9"/>
        <color rgb="FF000000"/>
        <rFont val="Arial Narrow"/>
      </rPr>
      <t xml:space="preserve">
1) El Profesional asignado por la Jefe de Oficina de Control Interna para realizar un informe
2) Durante el desarrollo de las actividades planeadas y antes de la comunicación del informe definitivo
3) Socializa con la unidad auditada los resultados del informe
4) De acuerdo con los criterios evaluados y alcance
5) En caso de encontrar inconsistencias, el profesional asignado solicitará las evidencias para validar e incluir los ajustes necesarios en el informe
6) Actas de reunión y evidencias que soporten los ajustes</t>
    </r>
  </si>
  <si>
    <t xml:space="preserve">Secretarios de despacho </t>
  </si>
  <si>
    <t xml:space="preserve">Proceso de competitividad y desarrollo económico sostenible </t>
  </si>
  <si>
    <t>Los recursos llegan a cundinamarqueses que no son priorizados</t>
  </si>
  <si>
    <r>
      <t>El equipo de mejoramiento socializará el correcto diligenciamiento de los formatos de caracterización poblacional mediante, Actas de capacitación, circulares, correos electronicos y actas de reunión. cada vez que haya una modificación en los formatos. En caso contrario se levantará nuevamente la información de la caracterización poblacional que haya sido mal diligenciada.</t>
    </r>
    <r>
      <rPr>
        <sz val="9"/>
        <color rgb="FFFF0000"/>
        <rFont val="Arial Narrow"/>
        <family val="2"/>
      </rPr>
      <t/>
    </r>
  </si>
  <si>
    <t xml:space="preserve">Se socializarán los formatos de caracterización poblacional que están dispuestos para el proceso, dicha socialización se ejecutará mediante el medio que a bien tenga cada secretaría (mediante correo eléctronico, videos informativos, reuniones), cualquiera sea el caso se deberá aportar la evidencia correspondiente. </t>
  </si>
  <si>
    <t xml:space="preserve">Equipo de Mejoramiento </t>
  </si>
  <si>
    <t>Secretaría de Agricultura y Desarrollo Rural
Secretaría de Competitividad y Desarrollo Económico
Secretaría de Minas, Energía y Gas
Secretaría de Ambiente</t>
  </si>
  <si>
    <t>El enlace de planeación de cada secretaría deberá aportar el plan indicativo que evidencia la población diferencial beneficiada de manera trimestral. En caso de que no se presente se recurrirá a las caracterizaciones poblacionales físicas.</t>
  </si>
  <si>
    <t xml:space="preserve">Como requisito de Secretaría de planeación, los avances a las metas se deben presentar  caracterizando la poblaciónal de los beneficiados, por tal razón se debe presentar como evidencia el plan indicativo en donde se identique la caracterización poblacional. </t>
  </si>
  <si>
    <t xml:space="preserve">Irregularidades en el pago de facturación presentada por los prestadores de servicios de salud. 
</t>
  </si>
  <si>
    <t xml:space="preserve">Falta de infraestructura tecnológica que permitan articular la información para garantizar radicación, verificación, control y pago de las facturas radicadas por los prestadores de servicio de salud.
</t>
  </si>
  <si>
    <t xml:space="preserve">Posibilidad de afectación económica y reputacional por irregularidades en el pago de facturación presentada por los prestadores de servicios de salud, debido a la falta de infraestructura tecnológica que permitan articular la información para garantizar radicación, verificación, control y pago de la facturación indicada. 
</t>
  </si>
  <si>
    <t>El técnico operativo (Responsable), realiza seguimiento a los avances de la implementación del  Sistema de Aplicaciones de Pago – SAP (Propósito), por medio de las reuniones con  la Dirección Administrativa y Financiera , Secretaría de Hacienda , Secretaría de las TICs y la firma auditora  externa  (Como se realiza), bimestralmente (Periodicidad). Como registro se dejara actas de reunión  (Evidencia).En caso de encontrar incumplimiento se  informara al Director de Aseguramiento  por medio de correo electrónico con el fin de generar las acciones pertinentes (Desviación)</t>
  </si>
  <si>
    <t xml:space="preserve">1. Diseñar un documento para la estandarización de la gestión de cuentas médicas. Manual- anual </t>
  </si>
  <si>
    <t>John Morales</t>
  </si>
  <si>
    <t>Técnico Operativo</t>
  </si>
  <si>
    <t>Dirección de Aseguramiento en Salud- Cuentas médicas</t>
  </si>
  <si>
    <t>Walter Alfonso Florez Florez</t>
  </si>
  <si>
    <t>31/04/2022</t>
  </si>
  <si>
    <t>El Director de Aseguramiento (Responsable), mensualmente (Periodicidad) supervisa la contratación de consultoría con una firma auditora de cuentas médicas (Propósito), mediante la evaluación de la gestión de la firma auditora consolidado el (Como se realiza) informe de gestión (Evidencia). En caso de no llevar a cabo la contratación, se informara al Secretario de Salud para la toma de decisiones (Desviación).</t>
  </si>
  <si>
    <t xml:space="preserve">2. Establecer lineamientos desde la Dirección de Aseguramiento, a fin de implementar la radicación de facturación electrónica. Documento- semestral </t>
  </si>
  <si>
    <t>Walter Florez</t>
  </si>
  <si>
    <t>Director Operativo</t>
  </si>
  <si>
    <t>Aseguramiento en Salud</t>
  </si>
  <si>
    <t>El Director de Aseguramiento (Responsable), anualmente (Periodicidad) verifica la existencia de la póliza del contrato de la firma auditora de cuentas médicas (Propósito), mediante la solicitud de la "Póliza de Seguro de Cumplimiento a Entidad Estatal" a la firma auditora (Como se realiza). Póliza (evidencia). En caso de no presentar la póliza vigente, se procederá a remitir notificación por plataforma Mercurio al área jurídica de la Secretaria de Salud de Cundinamarca (Desviación).</t>
  </si>
  <si>
    <t xml:space="preserve">3. Realizar visitas periódicas a la firma auditora para verificar el avance del objeto contractual. Acta- anual </t>
  </si>
  <si>
    <t>El Auditor de Cuentas Medicas (Responsable) semanalmente (Periodicidad), Verifica que los certificados de auditoria correspondan a la IPS que radico la cuenta (Propósito), compara la certificación de auditoria con el documento radicado por la IPS e informa correcciones si se encuentran inconsistencias (Como se realiza).  Oficio remisorio a la firma auditora (Evidencia). En caso de no reportar las correcciones, se informa al Director de Aseguramiento para no dar  autorización a la gestión de la cuenta (Desviación).</t>
  </si>
  <si>
    <t xml:space="preserve">4. Solicitar a la Direccion Administrativa y Financiera el enlace SECOP, para verificar que la póliza se encuentre cargada y vigente. Poliza- anual </t>
  </si>
  <si>
    <t>El tecnico operativo (Responsable), semestralmente  (periodicidad) Realiza  capacitacion a las entidades cobrantes  acerca los errores  mas frecuentes en la etapa de radicacion de cuentas medicas   (propósito) por medio de la identificacion de  irregularidades encontradas  en la radicacion de cuentas medicas  (como se realiza)acta de reunion y capacitacion  (evidencia). En caso de no realizar la reunion  se reprogramara el mes siguiente . (Desviación)</t>
  </si>
  <si>
    <t xml:space="preserve">5. Generar un documento de control, donde se evidencie el seguimiento a las certificaciones de auditoria emitidas por la firma auditora. Acta- semestral </t>
  </si>
  <si>
    <t>31/04/2023</t>
  </si>
  <si>
    <t xml:space="preserve">Inapropiada gestión del proceso de remisión
Fallas en el Sistema de información
Aumento de PQRSDF
Desarticulación con la unidad de Gestión del Riesgo
Tutelas, procesos disciplinarios,  y morbi-mortalidad.
</t>
  </si>
  <si>
    <t>Inoportuna e inadecuada coordinación de la gestión integral de riesgos y la respuesta en salud durante las situaciones de Urgencias, Emergencias y Desastres.</t>
  </si>
  <si>
    <t>Posibilidad de afectación económica y reputacional evidenciada en inapropiada gestión del proceso de remisión debido la  inoportuna e inadecuada coordinación de la gestión integral de riesgos y la respuesta en salud durante las situaciones de Urgencias, Emergencias y Desastres.</t>
  </si>
  <si>
    <t>El Director del CRUE o su delegado (Responsable) trimestralmente o de manera extraordinaria (Periodicidad) realiza seguimiento a compromisos y acciones relacionadas en salud referidas en el Consejo Departamental de Gestión del Riesgo y al Comité de Manejo de Desastres (Propósito) participando como miembro del Consejo en representación de la Secretaría de Salud y como integrante del Comité de Manejo Desastres (Cómo se realiza). En caso de observar no cumplimiento a la asistencia o actividades a cargo de la Secretaría o del CRUE, se informará al Secretario de Salud mediante oficio de notificación (Desviación). Evidencia: Acta de reunión del Consejo,  lista de asistencia al Consejo y oficio de notificación.</t>
  </si>
  <si>
    <t>Realizar informe de socialización de acciones relacionadas en salud y compromisos obtenidos en el consejo departamental de Gestión del Riesgo y Comité de manejo de Desastres dirigida al Secretario de Salud. Evidencia: Informe de socialización.</t>
  </si>
  <si>
    <t>Alejandra Barreto</t>
  </si>
  <si>
    <t>CRUE Cundinamarca</t>
  </si>
  <si>
    <t>Dumar Javier Figueredo</t>
  </si>
  <si>
    <t>04/30/2022</t>
  </si>
  <si>
    <t>El Profesional contratado por la Dirección (Responsable) de manera permanente (Periodicidad) verifica el funcionamiento del sistema de información con el fin de garantizar su seguridad (Propósito), a través de la asistencia permanente en el manejo de la plataforma (Cómo lo hace). En caso de identificar la necesidad de ajustes en el sistema de información o fallas para su manejo, se notificará al Director del CRUE y a la Secretaría de Planeación; así mismo se implementará el plan de contingencia establecido para tal fin (Desviación). Evidencia: Actas de asistencia técnica de reinducción, oficios y correo electrónico de notificación de ajustes.</t>
  </si>
  <si>
    <t>Realizar Backup de las bases de datos correspondientes a radicados de urgencias, incidentes y traslados priorizados. Evidencia: Base de datos de radicados, traslados priorizados e incidentes.</t>
  </si>
  <si>
    <t>Julián Felipe Pérez</t>
  </si>
  <si>
    <t>El Profesional Especializado encargado de los procesos administrativos de la Dirección (Responsable) de acuerdo al cronograma establecido en el plan de adquisiciones (Periodicidad) realiza seguimiento del proceso precontractual y contractual de mantenimiento de la red de comunicaciones (Propósito), a través de la contratación de prestación de servicios de un oferente que realice la actividad (Cómo se Realiza). En caso de observar fallas en el cumplimiento del cronograma de plan de mantenimiento, se notificará al Director del CRUE (Desviación). Evidencia: Estudio del mercado, cronograma de plan de adquisiciones, estudios previos, contrato de prestación de servicios, informe de ejecución de las actividades e informe de supervisión.</t>
  </si>
  <si>
    <t>Reportar seguimiento del Plan de Desarrollo Departamental, Plan de Desarrollo Territorial de Salud y Plan de Coherencia. Evidencia: Matriz de seguimiento a la meta.</t>
  </si>
  <si>
    <t>José Fernando León</t>
  </si>
  <si>
    <t>El Profesional Especializado encargado de los procesos administrativos de la Dirección (Responsable) de acuerdo al cronograma establecido en el plan de adquisiciones (Periodicidad) realiza seguimiento del proceso precontractual y contractual de mantenimiento de equipos biomédicos e industriales (Propósito) a través de la contratación de prestación de servicios de un oferente que realice la actividad. (Como se Realiza) . En caso de observar fallas en el cumplimiento del cronograma, se notificará al Director del CRUE. (Desviación) Evidencia: Estudio del mercado, estudios previos, cronograma de plan de adquisiciones, contrato de prestación de servicios, informe de ejecución de las actividades, informe de supervisión.</t>
  </si>
  <si>
    <t>El Profesional Especializado (Responsable) mensualmente o de manera extraordinaria (Periodicidad) realiza seguimiento a las acciones de merjoramiento propuestas en el comité de referencia y contrareferencia (Cómo se Realiza), con el fin de fortalecer dicho proceso, analizando las posibles dificultades y errores encontradas en los hospitales de mediana y alta complejidad y las EAPB (Propósito). En caso de observar incumplimiento en la asistencia de los participantes o no cumplimiento de los compromisos, se notificará mediante oficio a la Gerencia del Hospital (Desviación). Evidencia: Acta de reunión, Lista de asistencia y/u Oficio de inasistencia al comité.</t>
  </si>
  <si>
    <t>Socializar mensualmente acciones evidenciadas con las diferentes Instituciones Prestadoras de Salud al personal operativo del Centro Regulador de Urgencias, Emergencias y Desastres. Evidencia: Acta de reunión y listado de asistencia.</t>
  </si>
  <si>
    <t>Claudia Arevalo</t>
  </si>
  <si>
    <t>El técnico operativo (Responsable), de manera mensual (periodicidad) realiza seguimiento de datos de pacientes en remisión, con el fin de establecer cuántos de ellos fueron remitidos, lugar de remisión, tiempo de demora, pacientes cancelados y pacientes no remitidos (Propósito), a través de la matriz de consolidación de información de pacientes vinculados en proceso de remisión (Cómo se realiza). En caso de identificar incumplimiento en el proceso de remisión o falta de datos del proceso de remisión por parte del personal médico se notificará al Director del CRUE para estudio de caso y se generará oficio al personal médico encargado (Desviación). Evidencia: Matriz de análisis de casos de proceso de remisión, PQRSD y oficios de notificación.</t>
  </si>
  <si>
    <t xml:space="preserve">Realizar Backup de las bases de datos de remisiones de pacientes vinculados a la Secretaría de Salud del sistema de información Arcgies. Evidencia: Base de dato de remisiones de Sistema de Información. </t>
  </si>
  <si>
    <t>Gina Guzman</t>
  </si>
  <si>
    <t>El Director del CRUE (responsable) de manera trimestral (Periodicidad) verifica el cumplimiento de actividades en el marco de aseguramiento y cobertura integral de la Población Vinculada (Propósito), a través de encuentro con los referentes de las Direcciones de aseguramiento en salud y Centro Regulador de Urgencias y Emergencias(Cómo se hace). En caso de no llevarse a cabo el  encuentro se notificará al Director de Aseguramiento de la no participación de su referente (Desviación). Evidencia: Acta de reunión y lista de asistencia.</t>
  </si>
  <si>
    <t xml:space="preserve">No disponibilidad de transporte operativo para el traslado de pacientes.
Eventos antropicos y/o naturales. </t>
  </si>
  <si>
    <t xml:space="preserve">Fallas en logística y no disponibilidad del personal tripulante.
</t>
  </si>
  <si>
    <t>Posibilidad de afeactación económica y reputacional por la no disponibilidad de móviles de traslado operativo de pacientes debido a fallas en la logística y no disponibilidad en el personal de tripulación.</t>
  </si>
  <si>
    <t xml:space="preserve">El Técnico Operativo (Responsable) Mensualmente (Periodicidad) Realiza seguimiento a las bitácoras de traslado de pacientes determinando tiempos de traslado, patologías más recurrentes y lugar de recepción de traslado (Propósito), a través de la recopilación de la información de las bitácoras de traslados que las Instituciones Prestadoras de Salud cabeza de región reportan al CRUE (Cómo se realiza). En caso de que no se recepcione dicha matriz  se notificará por medio de oficio al gerente de la institución correspondiente (Desviaciones). Evidencia: Matriz de bitácora, Correo electrónico con información adjunta por parte de los hospitales y oficio de notificación. </t>
  </si>
  <si>
    <t>Realizar informe de socialización de cantidad de traslados y discriminación según su categorización. Evidencia: Informe a dirección con análísis de traslados.</t>
  </si>
  <si>
    <t>El técnico operativo responsable de comunicaciones (Responsable), mensualmente (periodicidad) verifica el adecuado funcionamiento de los radioteléfonos del centro operativo CRUE (Propósito), mediante la supervisión del adecuado uso, funcionamiento y acciones correctivas de los radios del Centro Operativo CRUE (Cómo se realiza). En caso de encontrar inconformidades en el funcionamiento se debe notificar por medio de oficio a la dirección para las acciones requeridas (Desviación). Evidencia: Asistencia Técnica y oficio de notificación.</t>
  </si>
  <si>
    <t>Realizar matriz de verificación de radioteléfonos del Centro Operativo del Centro Regulador de Urgencias, Emergencias y Desastres.  Evidencia: Matriz de verificaición.</t>
  </si>
  <si>
    <t>William Bermuez</t>
  </si>
  <si>
    <t>El técnico operativo responsable de comunicaciones (Responsable) mensualmente (periodicidad), verifica el adecuado funcionamiento de radioteléfono de ambulancias e Instituciones prestadoras de Salud (Propósito) mediante la supervisión del adecuado uso, funcionamiento y acciones correctivas (Cómo se realiza). En caso de encontrar inconformidades en el funcionamiento se debe notificar por medio de oficio a las partes interesadas para acciones requeridas (desviación. Evidencia: Asistencia Técnica y oficio de notificación.</t>
  </si>
  <si>
    <t>Realizar matriz de verificación de radioteléfonos del las Instituciones Prestadoras de Salud del Departamento de Cundinamarca. Evidencia: Matriz de verificación.</t>
  </si>
  <si>
    <t>El Director del CRUE (Responsable) anualmente (Periodicidad) verifica el funcionamiento de la plataforma de georeferenciación (Propósito) a través de solicitud de informe de operación del sistema a la empresa responsable del servicio de geolocalización de móviles operativas de los Prestadores de Salud de Cundinamarca (Cómo se hace) en caso de falla en la plataforma solicitará a la empresa responsable el mantenimiento del sistema (Desviación). Evidencia: Oficio de notificación de falla.</t>
  </si>
  <si>
    <t>detectivo</t>
  </si>
  <si>
    <t>Realizar matriz de verificación de radioteléfonos del Centro Operativo del Sistema de Emergencias Médicas. Evidencia: Matriz de verificación.</t>
  </si>
  <si>
    <t>El técnico operativo responsable de comunicaciones (Responsable) mensualmente (periodicidad) verifica el adecuado funcionamiento de los radioteléfonos del centro operativo del Sistema de Emergencia Médicas (Propósito), mediante la supervisión del adecuado uso, funcionamiento y acciones correctivas de los radios del centro operativp del Sistema de Emergencias Médicas  (Cómo se realiza). En caso de encontrar inconformidades en el funcionamiento se debe notificar por medio de oficio a la dirección para las acciones requeridas (Desviación). Evidencia: Asistencia Técnica y oficio de notificación.</t>
  </si>
  <si>
    <t xml:space="preserve">
El técnico operativo (Responsable) trimestral  (Periodicidad) verifica la adherencia al Decreto 481 del 13 de diciembre de 2021(Propósito) mediante la supervisión de adquisición de radio VHF en los Prestadores de Salud  privados Departamento de Cundinamarca (Cómo se realiza). En caso de no realizar el proceso para la adquisición se notificará al Director del Centro Regulador de Urgencias, Emergencias y Desastres (desviación) Evidencia: Asistencia técnica y Oficio de notificación.</t>
  </si>
  <si>
    <t>El Director del CRUE (Responsable) anualmente (Periodicidad) supervisa el convenio  de georeferenciación de móviles operativas del Departamento (Propósito) mediante alianza estratégica con empresa responsable de la plataforma de localización (Cómo se realiza). En caso de incumplimiento con el convenio se realizará terminación de manera unilateral (Desviación). Evidencia: convenio y acta de finalización.</t>
  </si>
  <si>
    <t>Demora en el cumplimiento de actividades asignadas, por el desconocimiento de las mismas por parte de los funcionarios y contratistas que asumen el cargo, afectando los tiempos de entrega de los servicios de las Secretarías.</t>
  </si>
  <si>
    <t>Desconocimiento del contexto general de la secretaría, los procesos, procedimientos, guias o instructivos que utilizan los funcionarios y contratistas para el desarrollo de las actividades asiganadas a su cargo</t>
  </si>
  <si>
    <t xml:space="preserve">
Posibilidad de afectación económica y reputacional debido a la demora en la entega de las actividades asignadas, por parte de los funcionarios y contratistas nuevos en sus cargos, porque no hay una correcta transferencia de información.</t>
  </si>
  <si>
    <t xml:space="preserve">Las Secretarias pertenecientes al proceso realizan capacitaciones semestrales con todos los funcionarios y contratistas, en la cual se brinda información relevante del funcionamiento y competencias de cada dependecia contemplando las metas y proyectos; ademas se les orienta sobre el correcto diligenciamiento de los formatos a utilizar en el  proceso que se lidera.  El equipo de mejoramiento verifica que la capacitacion se realice en la fecha programada dentro de los tiempos estipulados, en el caso en que no se pueda realizar en la fecha programada, esta se reprogramara y realizara en los tiempos establecidos para dar cumplimiento al control.   </t>
  </si>
  <si>
    <t>Se realizará una prueba de conocimiento de los temas proporcionados en la capacitación como son el conocimiento de la entidad y el proceso que se lidera, que ayudara a  evaluar los temas socializados para garantizar la apropiación de la información. Como evidencia se entregaran  las actas de capacitacion, el diseño de la evaluación y la consolidacion de los resultados con su analisis.</t>
  </si>
  <si>
    <t>Nidia Riaño
Juan Gabriel Ayala
Sandra Mahecha
Carlos Granados (:E)</t>
  </si>
  <si>
    <t xml:space="preserve"> Falta de información para la construcción de bases de datos, como consecuencia de la auscencia de conocimiento en el diligenciamiento de los formatos de caracterización de población específica   
Falta de unificación de la información socio económica relevante de la población (Caracterización poblacional)</t>
  </si>
  <si>
    <t>Posibilidad de impacto económico y reputacional porque  los recursos  podrían llegar a cundinamarqueses que no son priorizados debido a que la población seleccionada no es la apropiada para aplicar a las convocatorias porque no se cuenta con la totalidad de la informacion de las personas que aplicarian a estos servicios</t>
  </si>
  <si>
    <t>Luz Dary Patiño.
Isia Mercedes Viatela .
María Paula González G.
Yerssi Liliana Castro R.</t>
  </si>
  <si>
    <t xml:space="preserve">Incumplimiento de las metas del Plan de Desarrollo </t>
  </si>
  <si>
    <t xml:space="preserve">Falta de monitoreo y seguimiento  de las actividades contempladas en la Hoja de  ruta por parte del equipo de trabajo de redes y calidad para la implementación de las 14 regiones de Salud. </t>
  </si>
  <si>
    <t>Posibilidad de afectación reputacional por el Incumplimiento de las metas del Plan de Desarrollo Departamental, debido a  la falta de monitoreo y seguimiento  de las actividades contempladas en la Hoja de  ruta por parte del equipo de trabajo redes y calidad en  la implementación de las 14 regiones de Salud.</t>
  </si>
  <si>
    <t>El  equipo de calidad y redes de la Dirección de Desarrollo de Servicios (responsable), hará seguimiento a  la implementación del Programa Territorial de Red de Prestación de Servicios por regiones de Salud, de acuerdo a los componentes de su competencia: calidad y redes, mediante la implementación de la hoja de ruta e informes de avance (como se realiza) de manera trimestral (Periodicidad), con el fin de determinar y detectar posibles acciones correctivas  en la implementación de las 14 regiones de salud (Propósito),  en el caso de presentar observaciones o desviaciones se generará mayor acompañamiento y/o asistencia técnica(Desviación). Evidencia: Hoja de ruta e informes de avance, actas de reunión.</t>
  </si>
  <si>
    <t>Desarrollar reuniones bimensuales de socialización de la Reorganización, rediseño, modernización de la red de prestadores de servicios de salud del Departamento. Evidencia Actas de reunión/fotos</t>
  </si>
  <si>
    <t xml:space="preserve">DAISY GUTIERREZ 
CLAUDIA PATRICIA LÓPEZ </t>
  </si>
  <si>
    <t xml:space="preserve">PROFESIONAL 
ESPECIALIZADO </t>
  </si>
  <si>
    <t xml:space="preserve">DIRECCION DE DESARROLLO DE SERVICIOS </t>
  </si>
  <si>
    <t>JOSE OCTAVIANO BARRERA GUTIERREZ</t>
  </si>
  <si>
    <t>El  equipo de calidad y redes de la Dirección de Desarrollo de Servicios (responsable), realizará reuniones de seguimiento a la implementación del Programa Territorial de Red de Prestación de Servicios por regiones de Salud, de acuerdo a los componentes de su competencia (calidad y Redes) incluidos en la hoja de ruta e informes de avance (como se realiza) de manera trimestral (Periodicidad), con el fin de revisar situaciones o inconvenientes en la implementación de las 14 regiones de salud (Propósito), en el caso tomar decisiones al respecto (desviación). Evidencia quedan las actas de reunión o los pantallazos de reuniones virtuales según plataforma.</t>
  </si>
  <si>
    <t>Realizar una redistribucion del personal que conforma el equipó colaborador de calidad y redes, por regiones de la Dirección. Evidencia: Base en Excel del Cuadro de Distribución.</t>
  </si>
  <si>
    <t>El director (responsable) anualmente (periodicidad) hará una revisión a la implementación de la hoja de ruta (como se realiza) con el fin de dar el lineamiento para  reorganizar la metodología de seguimiento a la implementación de las 14 regiones salud en el territorio (Propósito) al equipo de la dirección. Si se evidencian nuevas necesidades o falencias en el proceso, se tomarán las decisiones gerenciales respectivas para la mejora continua del seguimiento. Evidencia: Acta de reunión u oficio con la nueva reorganización metodológica de seguimiento.</t>
  </si>
  <si>
    <t xml:space="preserve">Implementar bimensualmente reuniones técnicas de homologación de líderes de componentes de redes y calidad con el fin de hacer seguimiento al proceso. Evidencia: Actas de reunión. </t>
  </si>
  <si>
    <t>El Director junto con el equipo de redes (responsable) de manera mensual (periodicidad) verificará el cumplimiento de las macro actividades definidas en el "Instrumento Trazador", en concordancia con la hoja de ruta (como se realiza), con el fin de fortalecer el seguimiento a la implementación de las 14 regiones de salud (Propósito). Si se presenta una alerta o retraso en alguna actividad, se determinará la acción o conducta respectiva (Desviación) y su ejecución se registra en el instrumento trazador (Evidencia).</t>
  </si>
  <si>
    <t>Demora en aprobación de proyectos de inversión de dotación o infraestructura</t>
  </si>
  <si>
    <t xml:space="preserve">Desconocimiento técnico y falta de  homologación de criterios sobre Plan Bienal de Inversiones en Salud y viabilidad de proyectos  al interior del equipo. </t>
  </si>
  <si>
    <t>Posibilidad de afectación reputacional por demora en aprobación de proyectos de inversión de dotación o infraestructura, debido a desconocimiento técnico y falta de  homologación de criterios sobre Plan Bienal de Inversiones en Salud y viabilidad de proyectos  al interior del equipo.</t>
  </si>
  <si>
    <t>Los profesionales del grupo de Redes de la Dirección de Desarrollo de Servicios (responsable) trimestralmente (periodicidad) harán seguimiento a la congruencia de los conceptos de portafolio de servicios y capacidad instalada frente al Programa Territorial de Red de Prestación de Servicios por regiones de Salud (como se realiza), con el fin de controlar la aprobación de proyectos de ajuste a la Red Propuestos por las Empresas Sociales del Estado o Alcaldías Municipales (propósito). Si no están acordes al documento vigente, se devuelve oficio con observaciones, (desviación) dicho seguimiento quedará registrado en una matriz de seguimiento a conceptos emitidos en el periodo y en los oficios con observaciones (Evidencia).</t>
  </si>
  <si>
    <t xml:space="preserve">Gestionar y realizar una capacitación sobre Plan Bienal de Inversiones y Presentación de Proyectos con apoyo del Ministerio de Salud y Protección Social para homologación técnica de los Grupos de Infraestructura y Dotación, evidenciado en un informe de Capacitación. </t>
  </si>
  <si>
    <t>LUIS HERNANDO MENDOZA
JAIME AVILA</t>
  </si>
  <si>
    <t xml:space="preserve">PROFESIONAL ESPECIALIZADO / UNIVERSITARIO </t>
  </si>
  <si>
    <t xml:space="preserve">DIRECCION DESARROLLO 
DE SERVCICIOS </t>
  </si>
  <si>
    <t xml:space="preserve">Sandra Patricia 
Matínez Ruiz </t>
  </si>
  <si>
    <t>El equipo de trabajo de Infraestructura y Dotación (responsable), cada vez que se vaya a emitir un concepto de viabilidad (periodicidad) verifica la implementación de la lista de chequeo para proyectos de infraestructura o dotación en estudio (como lo realiza), con el fin de verificar que dentro de los soportes se cumpla con el concepto de aprobación del grupo de Redes de la Dirección de Desarrollo de Servicios (propósito), si no cumple con este concepto de acuerdo con lo estipulado en el Programa Territorial de Red de Prestación de Servicios por regiones de Salud y el Plan Bienal de Inversiones Públicas en Salud, queda registrado en la lista de chequeo y ser realiza oficio a la ESE o Alcaldía Respectiva, al Director de Desarrollo de Servicios y al Secretario de Salud (Desviación), se deja como evidencia las listas de chequeo implementadas y/o los conceptos emitidos u oficios con las observaciones.</t>
  </si>
  <si>
    <t xml:space="preserve">Realizar una redistribución anual de los equipos de trabajo de infraestructura y Dotación de acuerdo a la implementación de las 14 regiones de salud, evidenciado en un cuadro de control de distribución.  </t>
  </si>
  <si>
    <t xml:space="preserve">El grupo de Infraestructura  y Dotación (Responsables)  de manera bimensual (periodicidad) implementarán una matriz (como lo realiza) con el fin de realizar seguimiento y control de la viabilidad de los proyectos de inversión en revisión (propósito). Si se identifica alguna alerta o retraso en la viabilidad, informará al Director para establecer acciones respectivas (Desviación). Evidencia: Matriz de Seguimiento y control a la viabilidad de proyectos.   </t>
  </si>
  <si>
    <t>Realizar un comunicado socializando los controles propuestos para la gestión del riesgo, con los equipos de trabajo de infraestructura y dotación, evidenciado en un oficio o correo electrónico</t>
  </si>
  <si>
    <t xml:space="preserve">El director (Responsable) por lo menos una vez al año (periodicidad) revisa y ajusta el lineamiento técnico de acuerdo al seguimiento y control de los proyectos de inversión de infraestructura y dotación (como lo realiza), si encuentra alguna desviación en la aplicación de los procedimientos de viabilidad de proyectos de infraestructura y/o dotación, aprobará la modificación del procedimiento respectivo (Desviación). Evidencia: Procedimientos de viabilidad de proyectos de infraestructura y dotación modificados. </t>
  </si>
  <si>
    <t xml:space="preserve">Los responsables de los equipos de infraestructura y dotación (Responsable), por lo menos una vez en el año o por cambios en el equipo colaborador (Periodicidad), verificará mediante mesa técnica con los equipos internos (como se realiza) la comprensión y homologación de conceptos sobre Plan Bienal y Presentación de Proyectos (propósito), después de la capacitación con el Ministerio de Salud sobre Plan Bienal y Presentación de Proyectos. Si se evidencias falencias o diversidad de criterios, se resolverán las dudas en la mesa técnica o se gestionará el acompañamiento respectivo, según sea el caso (desviación).  Evidencia: Actas de reunión de la mesa técnica.  </t>
  </si>
  <si>
    <t xml:space="preserve">
 Inoportuna Disponibilidad de los recursos:  (recurso humano, reactivos, insumos, 
entre otros) necesarios para los análisis de las muestras.
* Excesiva carga de trabajo superando la capacidad analítica </t>
  </si>
  <si>
    <t>Demoras en el fase pre-contractual</t>
  </si>
  <si>
    <t>Posibilidad de afectación reputacional por Inoportuna disponibilidad de los recursos en el Laboratorio debido demoras en el fase pre-contractual</t>
  </si>
  <si>
    <t>El  Subdirector técnico y los lideres técnicos (responsable),  anualmente  (periodicidad),  Verifica los recursos necesarios para el funcionamiento del Laboratorio (propósito), elaborando el plan anual de adquisiciones (como lo realiza). En caso de que surja alguna necesidad de adquisición  se realiza la actualización previa autorización del director de salud pública  (desviación). Evidencia: Plan anual de adquisiciones</t>
  </si>
  <si>
    <t xml:space="preserve">Diseñar hoja de ruta para el seguimiento de los procesos de contratación. Anual. Matriz </t>
  </si>
  <si>
    <t xml:space="preserve">Gloria Fuertes </t>
  </si>
  <si>
    <t>Profesional universitario - Lider de calidad del Laboratorio de Salud Pùblica</t>
  </si>
  <si>
    <t xml:space="preserve">Laboratorio de Salud Pública - Subdirección </t>
  </si>
  <si>
    <t>Nathaly Sierra - Subdirector Técnico</t>
  </si>
  <si>
    <t>La Subdirectora técnica del laboratorio (responsable) cada vez que se realiza comité de calidad (periodicidad), realiza seguimiento al estado de los procesos contractuales (como lo realiza) con el propósito de identificar si se presenta algún inconveniente poderlo gestionar y dar continuidad al proceso. Si se presenta algún inconvenientes se realizan las acciones a que haya lugar para continuar con el proceso. Actas  de reunión y Matriz"  estado de contratación</t>
  </si>
  <si>
    <t xml:space="preserve">Implementar la hoja de ruta para el seguimiento de los procesos de contratación en los comites de calidad. Mensual. Matriz </t>
  </si>
  <si>
    <t xml:space="preserve">Nathaly Sierra </t>
  </si>
  <si>
    <t xml:space="preserve">Subdirector Técnico del Laboratorio de Salud Pùblica </t>
  </si>
  <si>
    <t xml:space="preserve">John Morera - Director de Salud Pública </t>
  </si>
  <si>
    <r>
      <t xml:space="preserve">El  profesional asignado para metrología (responsable),  mensualmente (periodicidad), verifia  el seguimiento al cronograma de intervenciones metrológicas (como lo realiza) con el fin de asegurar que los equipos de medición, generen resultados correctos (propósito). En caso de detectar alguna anomalía en la operación del equipo o de incumplir la programación de la intervención programada se aplican las acciones definidas en el procedimiento de Gestión Metrológica (desviación). Evidencia: Cronograma de Intervenciones metrológicas, Soportes técnicos de Intervenciones </t>
    </r>
    <r>
      <rPr>
        <sz val="9"/>
        <color rgb="FFFF0000"/>
        <rFont val="Arial Narrow"/>
        <family val="2"/>
      </rPr>
      <t>(Calificaciones, Calibraciones, Mantenimientos)</t>
    </r>
    <r>
      <rPr>
        <sz val="9"/>
        <color theme="1"/>
        <rFont val="Arial Narrow"/>
        <family val="2"/>
      </rPr>
      <t>,Matriz de Priorización, Hojas de Vida.</t>
    </r>
  </si>
  <si>
    <t>Los profesionales referentes de cada programa (responsable),  mensualmente (periodicidad), validan la oportunidad de los resultados en la bases de datos de toda la cadena del proceso de la muestra (propósito), generando acciones que conlleven a mitigar el tiempo para la entrega de los resultados (como lo realiza)
En caso de detectar algun una anomalía en la operación del equipo para el cumplimiento de la oportunidad se notifica al Subdirector y al cliente (desviación). Evidencia: Bases de datos de los programas.</t>
  </si>
  <si>
    <t xml:space="preserve">EL lider de calidad o el personal delegado del Laboratorio de Salud Pública (responsable) mensualmente (periodicidad) realiza seguimiento a la ejecución del plan de acción y al plan de coherencia ccorrespondiente a la meta del laboratorio (como se realiza) , con el proposito de garantizar los recursos necesarios para desarrollar las actividades y el funcionamiento del laboratorio (propósito). En caso de que la información no este disponible, se procederà a realizar la solicitud con los responsables de su manejo (Desviaciones).  Registro en la matriz de Plan de acción y plan de coherencia. </t>
  </si>
  <si>
    <t xml:space="preserve">La Subdirector técnico del laboratorio y los lideres técnicos (responsable) trimestralmente (periodicidad), realizan seguimiento al indicador Oportunidad en entrega de resultados del Laboratorio de Salud Pública (como lo realiza) con el proposito de verificar si los resultados estan cumpliendo con el tiempo de oportunidad establecido en el portafolio de ensayos. Si se presenta algun inconvenientes se realizan las acciones a que haya lugar para continuar con el proceso. Informe de revisión al desempeño </t>
  </si>
  <si>
    <t>Fallas en el desempeño del Laboratorio</t>
  </si>
  <si>
    <t xml:space="preserve">Debido a Incumplimientos en la ejecución de los procedimientos operativos  </t>
  </si>
  <si>
    <t xml:space="preserve">Posibilidad de afectación reputacional por  fallas en el desempeño del Laboratorio debido a Incumplimientos en la ejecución de los procedimientos operativos  </t>
  </si>
  <si>
    <t xml:space="preserve">El lider de calidad  (Responsable) cada vez que ingresa personal nuevo realiza inducción y una vez al año reinducción (periodicidad), socializa el manual de calidad (Como lo hace), con el fin de que el personal conozca los mecanismos para la imparcialidad (Proposito). En caso de no realizarse se programa la capacitación(desviación).  (Evidencia) Acta de reunión </t>
  </si>
  <si>
    <t>Definir la Programación de Actualización Técnica en el Laboratorio de Salud Pública. Anual.  Programación de Actualización Técnica en el Laboratorio de Salud Pública</t>
  </si>
  <si>
    <t>Profesional especializado Laboratorio de Salud Pública</t>
  </si>
  <si>
    <t xml:space="preserve">Laboratorio de salud Pública - Calidad </t>
  </si>
  <si>
    <r>
      <t xml:space="preserve">El líder técnico o par técnico </t>
    </r>
    <r>
      <rPr>
        <sz val="11"/>
        <color rgb="FFFF0000"/>
        <rFont val="Calibri"/>
        <family val="2"/>
        <scheme val="minor"/>
      </rPr>
      <t>(responsable)</t>
    </r>
    <r>
      <rPr>
        <sz val="11"/>
        <color theme="1"/>
        <rFont val="Calibri"/>
        <family val="2"/>
        <scheme val="minor"/>
      </rPr>
      <t>,  anualmente (</t>
    </r>
    <r>
      <rPr>
        <sz val="11"/>
        <color rgb="FFFF0000"/>
        <rFont val="Calibri"/>
        <family val="2"/>
        <scheme val="minor"/>
      </rPr>
      <t>periodicidad)</t>
    </r>
    <r>
      <rPr>
        <sz val="11"/>
        <color theme="1"/>
        <rFont val="Calibri"/>
        <family val="2"/>
        <scheme val="minor"/>
      </rPr>
      <t xml:space="preserve">, verifica la competencia técnica del personal </t>
    </r>
    <r>
      <rPr>
        <sz val="11"/>
        <color rgb="FFFF0000"/>
        <rFont val="Calibri"/>
        <family val="2"/>
        <scheme val="minor"/>
      </rPr>
      <t>(como lo realiza)</t>
    </r>
    <r>
      <rPr>
        <sz val="11"/>
        <color theme="1"/>
        <rFont val="Calibri"/>
        <family val="2"/>
        <scheme val="minor"/>
      </rPr>
      <t xml:space="preserve"> con el fin de avalar  la competencia técnica requerida para desempeñar las actividades el personal del laboratorio</t>
    </r>
    <r>
      <rPr>
        <sz val="11"/>
        <color rgb="FFFF0000"/>
        <rFont val="Calibri"/>
        <family val="2"/>
        <scheme val="minor"/>
      </rPr>
      <t xml:space="preserve"> (propósito)</t>
    </r>
    <r>
      <rPr>
        <sz val="11"/>
        <color theme="1"/>
        <rFont val="Calibri"/>
        <family val="2"/>
        <scheme val="minor"/>
      </rPr>
      <t>. En caso de presentarse una evaluación insatisfactoria se debe realizar reentrenamiento al personal de acuerdo con la Guia de Entrenamiento y evaluación de la competencia técnica en el Laboratorio de Salud Pública</t>
    </r>
    <r>
      <rPr>
        <sz val="11"/>
        <color rgb="FFFF0000"/>
        <rFont val="Calibri"/>
        <family val="2"/>
        <scheme val="minor"/>
      </rPr>
      <t xml:space="preserve"> (desviación</t>
    </r>
    <r>
      <rPr>
        <sz val="11"/>
        <color theme="1"/>
        <rFont val="Calibri"/>
        <family val="2"/>
        <scheme val="minor"/>
      </rPr>
      <t>). Evidencia: Evaluación de competencias</t>
    </r>
  </si>
  <si>
    <t xml:space="preserve">Desarrollar las capacitaciones de acuerdo a la Programación de Actualización Técnica en el Laboratorio de Salud Pública. Mensual. Actas de reunión y control de asistencia </t>
  </si>
  <si>
    <r>
      <t xml:space="preserve">El profesional analista </t>
    </r>
    <r>
      <rPr>
        <b/>
        <sz val="12"/>
        <color rgb="FFFF0000"/>
        <rFont val="Calibri"/>
        <family val="2"/>
        <scheme val="minor"/>
      </rPr>
      <t xml:space="preserve"> (responsable) </t>
    </r>
    <r>
      <rPr>
        <sz val="11"/>
        <color theme="1"/>
        <rFont val="Calibri"/>
        <family val="2"/>
        <scheme val="minor"/>
      </rPr>
      <t xml:space="preserve"> cada vez que realiza los análisis </t>
    </r>
    <r>
      <rPr>
        <sz val="12"/>
        <color rgb="FFFF0000"/>
        <rFont val="Calibri"/>
        <family val="2"/>
        <scheme val="minor"/>
      </rPr>
      <t>(periodicidad</t>
    </r>
    <r>
      <rPr>
        <sz val="11"/>
        <color theme="1"/>
        <rFont val="Calibri"/>
        <family val="2"/>
        <scheme val="minor"/>
      </rPr>
      <t xml:space="preserve">)  verifica los resultados de los controles establecidos para asegurar la validez de los resultados generados </t>
    </r>
    <r>
      <rPr>
        <sz val="12"/>
        <color rgb="FFFF0000"/>
        <rFont val="Calibri"/>
        <family val="2"/>
        <scheme val="minor"/>
      </rPr>
      <t xml:space="preserve">(proposito), </t>
    </r>
    <r>
      <rPr>
        <sz val="12"/>
        <rFont val="Calibri"/>
        <family val="2"/>
        <scheme val="minor"/>
      </rPr>
      <t>comparando los resultados de acuerdo a los procedimientos internos establecidos</t>
    </r>
    <r>
      <rPr>
        <sz val="11"/>
        <color theme="1"/>
        <rFont val="Calibri"/>
        <family val="2"/>
        <scheme val="minor"/>
      </rPr>
      <t xml:space="preserve"> </t>
    </r>
    <r>
      <rPr>
        <sz val="12"/>
        <color rgb="FFFF0000"/>
        <rFont val="Calibri"/>
        <family val="2"/>
        <scheme val="minor"/>
      </rPr>
      <t>(como se hace)</t>
    </r>
    <r>
      <rPr>
        <sz val="11"/>
        <color theme="1"/>
        <rFont val="Calibri"/>
        <family val="2"/>
        <scheme val="minor"/>
      </rPr>
      <t xml:space="preserve">.   En caso de observar alguna desviación se realiza la acción indicada en la guía de aseguramiento y de ser necesario se elabora un trabajo no conforme </t>
    </r>
    <r>
      <rPr>
        <sz val="12"/>
        <color rgb="FFFF0000"/>
        <rFont val="Calibri"/>
        <family val="2"/>
        <scheme val="minor"/>
      </rPr>
      <t>(Desviación)</t>
    </r>
    <r>
      <rPr>
        <sz val="11"/>
        <color theme="1"/>
        <rFont val="Calibri"/>
        <family val="2"/>
        <scheme val="minor"/>
      </rPr>
      <t xml:space="preserve">.  Evidencia: Gráficos de Control de Blancos, duplicados, matrices fortificadas, estándares, matriz Kappa, reglas de Westgard, Registro Control de Técnicas, Hojas de Trabajo, </t>
    </r>
  </si>
  <si>
    <t xml:space="preserve">Seguimiento el plan de acción para la presentación a la  acreditación bajo los requisitos de la norma ISO/IEC 17025 mensual  Cronograma de actividades </t>
  </si>
  <si>
    <r>
      <t>La Subdirectora técnica y profesional (responsable) semestralmente (periodicidad)  verifica el recurso humano disponible para asegurar la confiabilidad de los resultados de los análisis  de las muestras</t>
    </r>
    <r>
      <rPr>
        <sz val="12"/>
        <color rgb="FFFF0000"/>
        <rFont val="Calibri"/>
        <family val="2"/>
        <scheme val="minor"/>
      </rPr>
      <t>(proposito)</t>
    </r>
    <r>
      <rPr>
        <sz val="11"/>
        <color theme="1"/>
        <rFont val="Calibri"/>
        <family val="2"/>
        <scheme val="minor"/>
      </rPr>
      <t>,  reasignando a un par técnico para la revisión de la trazabilidad del resultado en  la fase pre-analitica, analìtica y post-analitíca  con el fin de asegurar que los resultados emitidos son  confiables (como lo hace)</t>
    </r>
    <r>
      <rPr>
        <sz val="12"/>
        <color rgb="FFFF0000"/>
        <rFont val="Calibri"/>
        <family val="2"/>
        <scheme val="minor"/>
      </rPr>
      <t>.</t>
    </r>
    <r>
      <rPr>
        <sz val="11"/>
        <color theme="1"/>
        <rFont val="Calibri"/>
        <family val="2"/>
        <scheme val="minor"/>
      </rPr>
      <t xml:space="preserve">  En caso de no contar con el personal el profesional líder notificara a la subdirectora para la gestión pertinente </t>
    </r>
    <r>
      <rPr>
        <sz val="12"/>
        <color rgb="FFFF0000"/>
        <rFont val="Calibri"/>
        <family val="2"/>
        <scheme val="minor"/>
      </rPr>
      <t>(desviación)</t>
    </r>
    <r>
      <rPr>
        <sz val="11"/>
        <color theme="1"/>
        <rFont val="Calibri"/>
        <family val="2"/>
        <scheme val="minor"/>
      </rPr>
      <t xml:space="preserve"> Evidencia: Matriz de titulares y pares de los roles de delegados</t>
    </r>
  </si>
  <si>
    <r>
      <t xml:space="preserve">El profesional  analista </t>
    </r>
    <r>
      <rPr>
        <sz val="12"/>
        <color rgb="FFFF0000"/>
        <rFont val="Calibri"/>
        <family val="2"/>
        <scheme val="minor"/>
      </rPr>
      <t xml:space="preserve"> (responsable)</t>
    </r>
    <r>
      <rPr>
        <sz val="11"/>
        <color theme="1"/>
        <rFont val="Calibri"/>
        <family val="2"/>
        <scheme val="minor"/>
      </rPr>
      <t xml:space="preserve"> diariamente </t>
    </r>
    <r>
      <rPr>
        <sz val="12"/>
        <color rgb="FFFF0000"/>
        <rFont val="Calibri"/>
        <family val="2"/>
        <scheme val="minor"/>
      </rPr>
      <t xml:space="preserve">(periodicidad) </t>
    </r>
    <r>
      <rPr>
        <sz val="11"/>
        <color theme="1"/>
        <rFont val="Calibri"/>
        <family val="2"/>
        <scheme val="minor"/>
      </rPr>
      <t xml:space="preserve">realiza el control y seguimiento de las condiciones ambientales en el área de trabajo, en el momento de hacer el montaje de las pruebas </t>
    </r>
    <r>
      <rPr>
        <sz val="11"/>
        <color rgb="FFFF0000"/>
        <rFont val="Calibri"/>
        <family val="2"/>
        <scheme val="minor"/>
      </rPr>
      <t>(propósito),</t>
    </r>
    <r>
      <rPr>
        <sz val="11"/>
        <color theme="1"/>
        <rFont val="Calibri"/>
        <family val="2"/>
        <scheme val="minor"/>
      </rPr>
      <t xml:space="preserve"> revisando los registros de temperatura y humedad del ambiente, limpieza y desinfección de areas, ambientes y superficies </t>
    </r>
    <r>
      <rPr>
        <sz val="12"/>
        <color rgb="FFFF0000"/>
        <rFont val="Calibri"/>
        <family val="2"/>
        <scheme val="minor"/>
      </rPr>
      <t xml:space="preserve">(como lo hace). </t>
    </r>
    <r>
      <rPr>
        <sz val="11"/>
        <color theme="1"/>
        <rFont val="Calibri"/>
        <family val="2"/>
        <scheme val="minor"/>
      </rPr>
      <t xml:space="preserve"> En caso de presentarse alguna desviación se reporta el trabajo de ensayo  no conforme y se realiza nuevamente la actividad que se encuentra con desviación</t>
    </r>
    <r>
      <rPr>
        <sz val="12"/>
        <color rgb="FFFF0000"/>
        <rFont val="Calibri"/>
        <family val="2"/>
        <scheme val="minor"/>
      </rPr>
      <t xml:space="preserve"> (Desviación)</t>
    </r>
    <r>
      <rPr>
        <sz val="11"/>
        <color theme="1"/>
        <rFont val="Calibri"/>
        <family val="2"/>
        <scheme val="minor"/>
      </rPr>
      <t>.  Evidencia: registro de temperatura y humedad del ambiente,  registro de limpieza y desinfección de equipos, registro de ambientes y superficies</t>
    </r>
  </si>
  <si>
    <r>
      <t xml:space="preserve">El  profesional asignado para metrología </t>
    </r>
    <r>
      <rPr>
        <sz val="11"/>
        <color rgb="FFFF0000"/>
        <rFont val="Calibri"/>
        <family val="2"/>
        <scheme val="minor"/>
      </rPr>
      <t>(responsable)</t>
    </r>
    <r>
      <rPr>
        <sz val="11"/>
        <color theme="1"/>
        <rFont val="Calibri"/>
        <family val="2"/>
        <scheme val="minor"/>
      </rPr>
      <t>,  mensualmente (</t>
    </r>
    <r>
      <rPr>
        <sz val="11"/>
        <color rgb="FFFF0000"/>
        <rFont val="Calibri"/>
        <family val="2"/>
        <scheme val="minor"/>
      </rPr>
      <t>periodicidad)</t>
    </r>
    <r>
      <rPr>
        <sz val="11"/>
        <color theme="1"/>
        <rFont val="Calibri"/>
        <family val="2"/>
        <scheme val="minor"/>
      </rPr>
      <t xml:space="preserve">, realiza el seguimiento al cronograma de intervenciones metrológicas </t>
    </r>
    <r>
      <rPr>
        <sz val="11"/>
        <color rgb="FFFF0000"/>
        <rFont val="Calibri"/>
        <family val="2"/>
        <scheme val="minor"/>
      </rPr>
      <t>(como lo realiza)</t>
    </r>
    <r>
      <rPr>
        <sz val="11"/>
        <color theme="1"/>
        <rFont val="Calibri"/>
        <family val="2"/>
        <scheme val="minor"/>
      </rPr>
      <t xml:space="preserve"> con el fin de asegurar que los equipos de medición, generen resultados correctos</t>
    </r>
    <r>
      <rPr>
        <sz val="11"/>
        <color rgb="FFFF0000"/>
        <rFont val="Calibri"/>
        <family val="2"/>
        <scheme val="minor"/>
      </rPr>
      <t xml:space="preserve"> (propósito)</t>
    </r>
    <r>
      <rPr>
        <sz val="11"/>
        <color theme="1"/>
        <rFont val="Calibri"/>
        <family val="2"/>
        <scheme val="minor"/>
      </rPr>
      <t>. En caso de detectar alguna anomalía en la operación del equipo o de incumplir la programación de la intervención programada se aplican las acciones definidas en el procedimiento de Gestión Metrológica</t>
    </r>
    <r>
      <rPr>
        <sz val="11"/>
        <color rgb="FFFF0000"/>
        <rFont val="Calibri"/>
        <family val="2"/>
        <scheme val="minor"/>
      </rPr>
      <t xml:space="preserve"> (desviación</t>
    </r>
    <r>
      <rPr>
        <sz val="11"/>
        <color theme="1"/>
        <rFont val="Calibri"/>
        <family val="2"/>
        <scheme val="minor"/>
      </rPr>
      <t>). Evidencia: Cronograma de Intervenciones metrológicas,</t>
    </r>
  </si>
  <si>
    <r>
      <t xml:space="preserve">El personal de sistemas del laboratorio </t>
    </r>
    <r>
      <rPr>
        <sz val="12"/>
        <color rgb="FFFF0000"/>
        <rFont val="Calibri"/>
        <family val="2"/>
        <scheme val="minor"/>
      </rPr>
      <t>(responsable)</t>
    </r>
    <r>
      <rPr>
        <sz val="11"/>
        <color theme="1"/>
        <rFont val="Calibri"/>
        <family val="2"/>
        <scheme val="minor"/>
      </rPr>
      <t xml:space="preserve"> diariamente  </t>
    </r>
    <r>
      <rPr>
        <sz val="11"/>
        <color rgb="FFFF0000"/>
        <rFont val="Calibri"/>
        <family val="2"/>
        <scheme val="minor"/>
      </rPr>
      <t>(periodicidad</t>
    </r>
    <r>
      <rPr>
        <sz val="11"/>
        <color theme="1"/>
        <rFont val="Calibri"/>
        <family val="2"/>
        <scheme val="minor"/>
      </rPr>
      <t xml:space="preserve">), realiza seguimiento a las copias de respaldo de la información del laboratorio  generadas por el servidor </t>
    </r>
    <r>
      <rPr>
        <sz val="12"/>
        <color rgb="FFFF0000"/>
        <rFont val="Calibri"/>
        <family val="2"/>
        <scheme val="minor"/>
      </rPr>
      <t>(como lo hace)</t>
    </r>
    <r>
      <rPr>
        <sz val="11"/>
        <color theme="1"/>
        <rFont val="Calibri"/>
        <family val="2"/>
        <scheme val="minor"/>
      </rPr>
      <t xml:space="preserve">, con el proposito de salvaguardar la información generada en el laboratorio </t>
    </r>
    <r>
      <rPr>
        <sz val="12"/>
        <color rgb="FFFF0000"/>
        <rFont val="Calibri"/>
        <family val="2"/>
        <scheme val="minor"/>
      </rPr>
      <t>(propósito)</t>
    </r>
    <r>
      <rPr>
        <sz val="11"/>
        <color theme="1"/>
        <rFont val="Calibri"/>
        <family val="2"/>
        <scheme val="minor"/>
      </rPr>
      <t xml:space="preserve">.  En caso de presentarse alguna anomalía se debe reportar el trabajo no conforme  </t>
    </r>
    <r>
      <rPr>
        <sz val="12"/>
        <color rgb="FFFF0000"/>
        <rFont val="Calibri"/>
        <family val="2"/>
        <scheme val="minor"/>
      </rPr>
      <t>(desviación)</t>
    </r>
    <r>
      <rPr>
        <sz val="11"/>
        <color theme="1"/>
        <rFont val="Calibri"/>
        <family val="2"/>
        <scheme val="minor"/>
      </rPr>
      <t xml:space="preserve"> Evidencia: Copias de seguridad</t>
    </r>
  </si>
  <si>
    <t xml:space="preserve">Insatisfacción  en el resultado de las acciones colectivas de Salud Pública </t>
  </si>
  <si>
    <t xml:space="preserve">Deficiencias en estrategias diseñadas </t>
  </si>
  <si>
    <t>Posibilidad de la afectación reputacional por las insatisfacción  en el resultado de las acciones colectivas de Salud Pública  debido a deficiencias en las estrategias  diseñadas.</t>
  </si>
  <si>
    <t>El profesional   ( responsable ) mensualmente  (periodicidad ) realiza seguimiento  de actividades y metas del plan  indicativo (como hace ) ,  para  el logro de objetivos estrategicos de la Dirección )propósito )  . Evidencia:  Plan indicativo, Plan de Coherencia  en caso  no realizarse se comunicará a las Subdirectoras y Director para tomar medidas pertinentes con cada Referente .</t>
  </si>
  <si>
    <t xml:space="preserve"> Realizar presentación consolidado trimestral de avance de cumplimiento de metas ante comité técnico de la  Dirección de Salud Pública el  avance de metas por subdirección . Evidencia Acta de Reunion </t>
  </si>
  <si>
    <t xml:space="preserve">MARTHA HERRERA ,MIRYAM DAZA, CAROLINA ALVAREZ, PATRICIA CHAPARRO, CONSUELO GARCIA MONICA SANDOVAL , FRANCY PERDOMO, TATIANA LEMUS ,DANIELA GARZON.SONIA CASTILLO, VIVIANA BERNAL, DAVID JULIO , OLGA CHAVARRO, CATALINA CARDENAS,STEFANNIE GAITAN, AURA GISELLE MARROQUIN ,  </t>
  </si>
  <si>
    <t>PROFESIONAL ESPECIALIZADO DIRECCION SALUD PUBLICA</t>
  </si>
  <si>
    <t xml:space="preserve">DIRECCION SALUD PUBLICA </t>
  </si>
  <si>
    <t xml:space="preserve">JHON MORERA DIRECTOR SALUD PUBLICA </t>
  </si>
  <si>
    <t xml:space="preserve">El epidemiólogo (responsable )  trimestralmente (periodicidad ) verifica  la calidad, coherencia y oportunidad de los Eventos de Interés en Salud Pública  ingresados al sistema de información Sivigila por parte de las Unidad Notificadora Municipal  y sus Unidades Primarias Generadora de Datos(propósito )  , realizando un consolidado departamental de la notificación de los 116 municipios y sus Unidades Primarias Generadora de Datos que cumpla con las características exigidas en el manual Sivigila del Instituto Nacional de Salud  ( como se realiza ) , en caso de presentarse desviaciones en el proceso se realiza soporte técnico a los municipios y Unidades Primarias Generadora de Datos en el tema Sivigila  Evidencia : Matriz de seguimiento </t>
  </si>
  <si>
    <t xml:space="preserve">Reunión mensual del Referente de cada componente con su equipo de trabajo para  verificación de actividades ,  y establecer compromisos para el seguimiento y  avance de las metas de salud publica  en el marco de la  implementación de la Rutas de promocion y mantenimiento de la salud  y demás acorde con la normatividad vigente Evidencia Acta de reunión de cada componente  </t>
  </si>
  <si>
    <t xml:space="preserve">CIELO HERNANDEZ ,MIRYAM DAZA, CAROLINA ALVAREZ, PATRICIA CHAPARRO, CONSUELO GARCIA MONICA SANDOVAL , FRANCY PERDOMO, TATIANA LEMUS ,DANIELA GARZON.SONIA CASTILLO, VIVIANA BERNAL, DAVID JULIO , OLGA CHAVARRO, CATALINA CARDENAS,STEFANNIE GAITAN, AURA GISELLE MARROQUIN ,  </t>
  </si>
  <si>
    <t xml:space="preserve">ASESOR DIRECCIONDE SALUD PUBLICA Y PROFESIONALES DE PLANTA DE DIRECCION SALUD PUBLICA </t>
  </si>
  <si>
    <t>Una vez al mes  (periodicidad )  el profesional especializado (responsable ) realiza seguimiento a los eventos de interés en salud pública (proósito ) mediante  citación a Comité de Vigilancia Epidemiológica  departamental a   las unidades notificadoras municipales,(como se realiza .  Evidencia: Actas de Comité de Vigilancia Epidemiológica  Departamental en caso de no presentarse se notificará al municipio para toma de medidas pertinentes        (desviación )</t>
  </si>
  <si>
    <t xml:space="preserve">Realizar  Requerimientos  mensual  por incumplimiento e inoportunidades  a los actores del proceso de Vigilancia epidemiológica  . Evidencia Oficios 
</t>
  </si>
  <si>
    <t xml:space="preserve">YULIETH CAMARGO </t>
  </si>
  <si>
    <t xml:space="preserve">PROFESIONAL ESPECIALIZAD </t>
  </si>
  <si>
    <t xml:space="preserve">SUBDIRECCION DE VIGILANCIA EN SALUD PUBLCA </t>
  </si>
  <si>
    <t>ELIZABETH COY</t>
  </si>
  <si>
    <t xml:space="preserve"> El  profesional de epidemiología (responsable )  cada periodo epidemiológico acorde con calendario  establecido por el Instituto Nacional de Salud  ( periodicidad) realiza seguimiento al comportamiento de  los eventos de interés en salud pública (propósito ) mediante elaboración y publicación de  boletín epidemiológico por evento ;en caso de  no realizarse el boletín se  informará al Subdirector para generar otro  instrumento que permita la publicación del comportamiento del evento . Evidencia:   Boletín epidemiológico.</t>
  </si>
  <si>
    <t xml:space="preserve">  Realizar  asistencias tecnicas   en el  fortalecimiento al sistema de Vigilancia  presentar consolidado trimestral .Evidencia actas de asistencia técnica  </t>
  </si>
  <si>
    <t xml:space="preserve">El profesional ( responsable ) trimestralmente (periodicidad ) realiza seguimiento a los sujetos  susceptibles de inspección, vigilancia y control sanitaria  (propósito ) mediante matriz de seguimiento al cumplimiento de las acciones  de Inspección, Vigilancia y control sanitario  .  Evidencia: Censo ,  Actas de visitas de Inspección Vigilancia y Control , Matriz de seguimiento ; en caso de que no se observe el cumplimiento  se notifica a la Subdirección para subsanar y dar continuidad al seguimiento </t>
  </si>
  <si>
    <t xml:space="preserve">  Generación mensual de circular de invitacion y 
Envio de presentacion y listado de asistencia a los asistentes. Evidencia listado asistencia </t>
  </si>
  <si>
    <t xml:space="preserve">Mensualmente  Generacion de censo ;  Reporte de laboratorio y  Generacion de procesos sancionatorios. Evidencia  censo , actos adminsitrativos de procesos sancionatorios . </t>
  </si>
  <si>
    <t xml:space="preserve">CARLOS ELKIN  RIVEROS </t>
  </si>
  <si>
    <t>Reprocesos de las acciones de inspección, vigilancia y control;  realizadas a sujetos objetos de vigilancia</t>
  </si>
  <si>
    <t xml:space="preserve">1. Déficit de conocimientos en los lineamientos normativos </t>
  </si>
  <si>
    <t xml:space="preserve">Posibilidad de afectación reputacional  y economica por  reprocesos  de las acciones de inspección, vigilancia y control debido a 
   Déficit de conocimiento e implementación normativa </t>
  </si>
  <si>
    <t>Responsable: El Profesional  Especializado y/o Universitario, del subproceso de habilitación   Periodicidad: de forma mensual,Como se realiza:  realiza seguimiento de los informes generados de las visitas de la verificación de condiciones minimas de habilitación a prestadores de servicios de salud, Proposito:  para identificar y/o  realizar ajustes  en el diligenciamiento  del informe de visita antes de realizar el cargue en la plataforma del REPS (Registro especial de Prestadores de servicios de Salud)  Desviación: en caso que el informe se encuentre con errores en el diligenciamiento, se notificara de forma inmediata y  por medio de correo electrónico, al responsable del informe con copia al coordinador de la visita, para el respectivo ajuste   evidencia: Base de datos de revisión de  informes y/o  correos electrónicos.</t>
  </si>
  <si>
    <t xml:space="preserve">Realizar reunion  para la gestión  de los errores evidenciados, en el diligencamiento de los  informes de verificación de condiciones de habilitacion (Trimestral - Acta de reunión). </t>
  </si>
  <si>
    <t xml:space="preserve">Diana Yamile Ramos Castro </t>
  </si>
  <si>
    <t>Directora -Operativa</t>
  </si>
  <si>
    <t>Salud - Dirección Inspección, Vigilancia y Control</t>
  </si>
  <si>
    <t xml:space="preserve">Responsable: El Profesional  Especializado y/o Universitario del subproceso de habilitación ,  Periodicidad: mensualmente, como lo realiza: Realiza un seguimiento de las actuaciones derivadas de las acciones de Inspeccion, Vigilancia y Control  Proposito: con el fin de identificar la implementación de los  procesos acorde a la normativa vigente; Desviación: En caso de identificar fallas en la implementación,  se realizara retroalimentación en las fallas presentadas de manera individual o grupal    Evidencia:  Actas de  reunión de seguimiento y/o actas de reunion de retroalimentación. </t>
  </si>
  <si>
    <t xml:space="preserve">Emitir informe semestral del estado actual de las acciones realizadas en el  procedimiento de verificación de condiciones de habilitación que incluya acciones de mejora (Semestral  - Acta de reunión de seguimiento al procedimiento  y/o Informe semestral ). </t>
  </si>
  <si>
    <t>Responsable: La Directora de inspección, vigilancia y Control Periodicidad: Trimestralmente,  Como lo realiza: valida conceptos normativos, para ser homologados por medio de reuniones,  las cuales son organizadas  por el Profesional Especializado y/o Universitario, líder del subproceso,  Propósito: con el objetivo de   brindar a los funcionarios lineamientos de forma unificada, coherente y precisa de acuerdo a la normativa vigente,  Desviación: En caso de no dar cumplimiento en el tiempo establecido para realizar la reunión; se procede a reprogramar e informar por correo electrónico. Evidencia: Como registro se elabora la respectiva acta de la reunión y/o correo electrónico.</t>
  </si>
  <si>
    <t>Seguimiento a la implmentación de la Socializacion de  conceptos normativos y/o lineamientos institucionales de acuerdo a la necesidad de la Dirección  (Semestral - Bases de datos )</t>
  </si>
  <si>
    <t>Responsable: El Profesional  Especializado y/o Universitario, del subproceso de Investigación de fallas en la prestación del servicio de salud  Periodicidad: de forma mensual,Como se realiza:  realiza seguimiento de actuaciones derivadas del procedimiento Investigación de fallas en la prestación del servicio de salud  Proposito:  para identificar y realizar correcciones de  los  errores  en el diligenciamiento  de actuaciones derivadas del procedimiento Investigación de fallas en la prestación del servicio de salud Desviación: en caso de no presentar las acciones según lineamientos, se notificara de forma inmediata  por medio de correo electrónico, evidencia: Base de datos de revisión de  de actuaciones derivadas del procedimiento Investigación de fallas en la prestación del servicio de salud y/o correos electrónicos .</t>
  </si>
  <si>
    <t xml:space="preserve">Realizar Reunión  para la gestión  de los errores evidenciados en el diligenciamiento de actuaciones del procedimiento de Investigación por las presuntas fallas en la prestación del Servicio de salud   (Trimestral - Acta de reunión). </t>
  </si>
  <si>
    <t>1. Procesos sancionatorios en contra de la Secretaria de Salud.
2. Comunidad en riesgo en la prestación de servicio de salud</t>
  </si>
  <si>
    <t>1. Insuficiente Talento humano para dar respuesta oportuna a los requerimientos en terminos de ley</t>
  </si>
  <si>
    <t>Posibilidad de afectación reputacional  y económica por caducidad de trámites administrativos debido a insuficiente Talento Humano .</t>
  </si>
  <si>
    <r>
      <rPr>
        <b/>
        <sz val="11"/>
        <color rgb="FF7030A0"/>
        <rFont val="Calibri"/>
        <family val="2"/>
        <scheme val="minor"/>
      </rPr>
      <t>Responsable:</t>
    </r>
    <r>
      <rPr>
        <sz val="11"/>
        <color rgb="FF7030A0"/>
        <rFont val="Calibri"/>
        <family val="2"/>
        <scheme val="minor"/>
      </rPr>
      <t xml:space="preserve"> </t>
    </r>
    <r>
      <rPr>
        <sz val="11"/>
        <color theme="1"/>
        <rFont val="Calibri"/>
        <family val="2"/>
        <scheme val="minor"/>
      </rPr>
      <t xml:space="preserve">El Profesional Especializado y/o Universitario  </t>
    </r>
    <r>
      <rPr>
        <b/>
        <sz val="11"/>
        <color rgb="FF7030A0"/>
        <rFont val="Calibri"/>
        <family val="2"/>
        <scheme val="minor"/>
      </rPr>
      <t>Periodicidad:</t>
    </r>
    <r>
      <rPr>
        <sz val="11"/>
        <color theme="1"/>
        <rFont val="Calibri"/>
        <family val="2"/>
        <scheme val="minor"/>
      </rPr>
      <t xml:space="preserve"> semanalmente  </t>
    </r>
    <r>
      <rPr>
        <b/>
        <sz val="11"/>
        <color rgb="FF7030A0"/>
        <rFont val="Calibri"/>
        <family val="2"/>
        <scheme val="minor"/>
      </rPr>
      <t>Proposito</t>
    </r>
    <r>
      <rPr>
        <sz val="11"/>
        <color theme="1"/>
        <rFont val="Calibri"/>
        <family val="2"/>
        <scheme val="minor"/>
      </rPr>
      <t>:</t>
    </r>
    <r>
      <rPr>
        <b/>
        <sz val="11"/>
        <color rgb="FF7030A0"/>
        <rFont val="Calibri"/>
        <family val="2"/>
        <scheme val="minor"/>
      </rPr>
      <t xml:space="preserve"> </t>
    </r>
    <r>
      <rPr>
        <sz val="11"/>
        <color theme="1"/>
        <rFont val="Calibri"/>
        <family val="2"/>
        <scheme val="minor"/>
      </rPr>
      <t>realiza seguimiento y validación</t>
    </r>
    <r>
      <rPr>
        <b/>
        <sz val="11"/>
        <color rgb="FF7030A0"/>
        <rFont val="Calibri"/>
        <family val="2"/>
        <scheme val="minor"/>
      </rPr>
      <t xml:space="preserve"> </t>
    </r>
    <r>
      <rPr>
        <sz val="11"/>
        <color theme="1"/>
        <rFont val="Calibri"/>
        <family val="2"/>
        <scheme val="minor"/>
      </rPr>
      <t xml:space="preserve"> al reparto de actuaciones administrativas,  </t>
    </r>
    <r>
      <rPr>
        <b/>
        <sz val="11"/>
        <color rgb="FF7030A0"/>
        <rFont val="Calibri"/>
        <family val="2"/>
        <scheme val="minor"/>
      </rPr>
      <t>Como Lo Hace</t>
    </r>
    <r>
      <rPr>
        <sz val="11"/>
        <color theme="1"/>
        <rFont val="Calibri"/>
        <family val="2"/>
        <scheme val="minor"/>
      </rPr>
      <t xml:space="preserve">: diligenciando  el formato Unico de Reparto juridico y envio por correo electronico a cada abogado sustanciador   </t>
    </r>
    <r>
      <rPr>
        <b/>
        <sz val="11"/>
        <color rgb="FF7030A0"/>
        <rFont val="Calibri"/>
        <family val="2"/>
        <scheme val="minor"/>
      </rPr>
      <t>desviación:</t>
    </r>
    <r>
      <rPr>
        <sz val="11"/>
        <color theme="1"/>
        <rFont val="Calibri"/>
        <family val="2"/>
        <scheme val="minor"/>
      </rPr>
      <t xml:space="preserve"> </t>
    </r>
    <r>
      <rPr>
        <sz val="11"/>
        <rFont val="Calibri"/>
        <family val="2"/>
        <scheme val="minor"/>
      </rPr>
      <t>En caso de no realizar las  actuaciones de acuerdo al reparto, se dejara registro en acta de reunion de seguimiento al proceso.</t>
    </r>
    <r>
      <rPr>
        <b/>
        <sz val="11"/>
        <color rgb="FF7030A0"/>
        <rFont val="Calibri"/>
        <family val="2"/>
        <scheme val="minor"/>
      </rPr>
      <t xml:space="preserve"> Evidencia</t>
    </r>
    <r>
      <rPr>
        <sz val="11"/>
        <rFont val="Calibri"/>
        <family val="2"/>
        <scheme val="minor"/>
      </rPr>
      <t xml:space="preserve">:  Formato de reparto, correo electronico y/o acta de reunión. </t>
    </r>
  </si>
  <si>
    <t xml:space="preserve">Enviar por medio de correo electrónico la verificación de cumplimiento del reparto de las actuaciones administrativas de  cada abogado sustanciador  al Director (a) de forma semanal-
(formato de reparto y/o correo electrónico) ) </t>
  </si>
  <si>
    <r>
      <rPr>
        <b/>
        <sz val="11"/>
        <color rgb="FF7030A0"/>
        <rFont val="Calibri"/>
        <family val="2"/>
        <scheme val="minor"/>
      </rPr>
      <t xml:space="preserve">Responsable: </t>
    </r>
    <r>
      <rPr>
        <sz val="11"/>
        <color theme="1"/>
        <rFont val="Calibri"/>
        <family val="2"/>
        <scheme val="minor"/>
      </rPr>
      <t xml:space="preserve">El Profesional Especializado y/o Universitario,   </t>
    </r>
    <r>
      <rPr>
        <b/>
        <sz val="11"/>
        <color rgb="FF7030A0"/>
        <rFont val="Calibri"/>
        <family val="2"/>
        <scheme val="minor"/>
      </rPr>
      <t xml:space="preserve">Perodicidad: </t>
    </r>
    <r>
      <rPr>
        <sz val="11"/>
        <color theme="1"/>
        <rFont val="Calibri"/>
        <family val="2"/>
        <scheme val="minor"/>
      </rPr>
      <t xml:space="preserve">mensualmente,  </t>
    </r>
    <r>
      <rPr>
        <b/>
        <sz val="11"/>
        <color rgb="FF7030A0"/>
        <rFont val="Calibri"/>
        <family val="2"/>
        <scheme val="minor"/>
      </rPr>
      <t>Proposito</t>
    </r>
    <r>
      <rPr>
        <sz val="11"/>
        <color theme="1"/>
        <rFont val="Calibri"/>
        <family val="2"/>
        <scheme val="minor"/>
      </rPr>
      <t xml:space="preserve">: valida  las actuaciones juridicas  o secretariales  </t>
    </r>
    <r>
      <rPr>
        <b/>
        <sz val="11"/>
        <color rgb="FF7030A0"/>
        <rFont val="Calibri"/>
        <family val="2"/>
        <scheme val="minor"/>
      </rPr>
      <t xml:space="preserve">Como lo Hace: </t>
    </r>
    <r>
      <rPr>
        <sz val="11"/>
        <color theme="1"/>
        <rFont val="Calibri"/>
        <family val="2"/>
        <scheme val="minor"/>
      </rPr>
      <t>verificando  el tiempo de caducidad, segun el rango normativo</t>
    </r>
    <r>
      <rPr>
        <b/>
        <sz val="11"/>
        <color rgb="FF7030A0"/>
        <rFont val="Calibri"/>
        <family val="2"/>
        <scheme val="minor"/>
      </rPr>
      <t xml:space="preserve"> </t>
    </r>
    <r>
      <rPr>
        <sz val="11"/>
        <color theme="1"/>
        <rFont val="Calibri"/>
        <family val="2"/>
        <scheme val="minor"/>
      </rPr>
      <t xml:space="preserve"> y envia  correo electrónico al funcionario encargado para la revisión de las mismas, del tramite prioritario o alertas </t>
    </r>
    <r>
      <rPr>
        <b/>
        <sz val="11"/>
        <color rgb="FF7030A0"/>
        <rFont val="Calibri"/>
        <family val="2"/>
        <scheme val="minor"/>
      </rPr>
      <t xml:space="preserve">Desviación: </t>
    </r>
    <r>
      <rPr>
        <sz val="11"/>
        <color theme="1"/>
        <rFont val="Calibri"/>
        <family val="2"/>
        <scheme val="minor"/>
      </rPr>
      <t xml:space="preserve">En caso de incumplimiento, se procede a enviar correo electronico solicitando la información de forma prioritaria. </t>
    </r>
    <r>
      <rPr>
        <b/>
        <sz val="11"/>
        <color theme="7"/>
        <rFont val="Calibri"/>
        <family val="2"/>
        <scheme val="minor"/>
      </rPr>
      <t xml:space="preserve">  Evidencia:</t>
    </r>
    <r>
      <rPr>
        <sz val="11"/>
        <color theme="1"/>
        <rFont val="Calibri"/>
        <family val="2"/>
        <scheme val="minor"/>
      </rPr>
      <t xml:space="preserve"> Correo electronico de Tramite prioritario  o alertas con el listado de actuaciones a priorizar.</t>
    </r>
  </si>
  <si>
    <t xml:space="preserve">Enviar por medio de correo electrónico al (la) Director (a) la verificación del cumplimiento a las alertas  o tramites prioritarios de las actuaciones administrativas adjuntando un Excel de acuerdo a la necesidad identificada (Semanal- Consolidado de Alertas y/o Tramite Prioritario) </t>
  </si>
  <si>
    <r>
      <rPr>
        <b/>
        <sz val="11"/>
        <color rgb="FF7030A0"/>
        <rFont val="Calibri"/>
        <family val="2"/>
        <scheme val="minor"/>
      </rPr>
      <t>Responsable</t>
    </r>
    <r>
      <rPr>
        <sz val="11"/>
        <color theme="1"/>
        <rFont val="Calibri"/>
        <family val="2"/>
        <scheme val="minor"/>
      </rPr>
      <t xml:space="preserve">:La Directora de Inspección, Vigilancia y Control </t>
    </r>
    <r>
      <rPr>
        <b/>
        <sz val="11"/>
        <color rgb="FF7030A0"/>
        <rFont val="Calibri"/>
        <family val="2"/>
        <scheme val="minor"/>
      </rPr>
      <t xml:space="preserve">Periodicidad: </t>
    </r>
    <r>
      <rPr>
        <sz val="11"/>
        <color theme="1"/>
        <rFont val="Calibri"/>
        <family val="2"/>
        <scheme val="minor"/>
      </rPr>
      <t>trimestralmente,</t>
    </r>
    <r>
      <rPr>
        <b/>
        <sz val="11"/>
        <color theme="7"/>
        <rFont val="Calibri"/>
        <family val="2"/>
        <scheme val="minor"/>
      </rPr>
      <t xml:space="preserve"> Proposito:</t>
    </r>
    <r>
      <rPr>
        <sz val="11"/>
        <color theme="1"/>
        <rFont val="Calibri"/>
        <family val="2"/>
        <scheme val="minor"/>
      </rPr>
      <t xml:space="preserve"> Realiza seguimiento al estado de las actuaciones administrativas juridicas en curso,  de acuerdo a la normativa vigente y capacidad de talento humano  </t>
    </r>
    <r>
      <rPr>
        <b/>
        <sz val="11"/>
        <color rgb="FF7030A0"/>
        <rFont val="Calibri"/>
        <family val="2"/>
        <scheme val="minor"/>
      </rPr>
      <t xml:space="preserve">Como lo realiza: </t>
    </r>
    <r>
      <rPr>
        <sz val="11"/>
        <color theme="1"/>
        <rFont val="Calibri"/>
        <family val="2"/>
        <scheme val="minor"/>
      </rPr>
      <t xml:space="preserve">programa reuniones de seguimiento las cuales son lideradas por el Profesional Universitario y/o Especializado  del  Tramites Juridicos de la Direccion   </t>
    </r>
    <r>
      <rPr>
        <b/>
        <sz val="11"/>
        <color rgb="FF7030A0"/>
        <rFont val="Calibri"/>
        <family val="2"/>
        <scheme val="minor"/>
      </rPr>
      <t xml:space="preserve">Desviación: </t>
    </r>
    <r>
      <rPr>
        <sz val="11"/>
        <color theme="1"/>
        <rFont val="Calibri"/>
        <family val="2"/>
        <scheme val="minor"/>
      </rPr>
      <t xml:space="preserve">En caso de no dar cumplimiento en el tiempo establecido para realizar la reunión; se procede a reprogramar y enviar correo electronico. </t>
    </r>
    <r>
      <rPr>
        <b/>
        <sz val="11"/>
        <color theme="7"/>
        <rFont val="Calibri"/>
        <family val="2"/>
        <scheme val="minor"/>
      </rPr>
      <t xml:space="preserve">Evidencia: </t>
    </r>
    <r>
      <rPr>
        <sz val="11"/>
        <color theme="1"/>
        <rFont val="Calibri"/>
        <family val="2"/>
        <scheme val="minor"/>
      </rPr>
      <t xml:space="preserve"> acta de la reunión y/o correo electronico.   </t>
    </r>
  </si>
  <si>
    <t>La Directora de Inspección Vigilancia y control,  verifica la capacidad de talento humano segun el estado de las actuaciones administrativas jurídicas en curso,  los requerimientos asignados a la Dirección, la  distribución de las actuaciones  de forma semestral   (Informe semestral ).</t>
  </si>
  <si>
    <t>Falta de respuesta en oportunidad.
Sanciones por tiempos de respuesta vencidos.</t>
  </si>
  <si>
    <t>Ausencia de disponibilidad de recurso humano y desconocimiento técnico en distribución de PQRSDF.</t>
  </si>
  <si>
    <t xml:space="preserve">Posibilidad de afectacion reputacional por sanciones interpuestas debido a la ausencia de recurso humano y desconocimientos tecnicos que imposibiliten adelantar el proceso oportuno de distribucion de PQRSDF </t>
  </si>
  <si>
    <t>Adelantar capacitacion en induccion y reinduccion en tiempos de respuesta, cultura de respuesta, normatividad y sanciones (semestralmente, Correo de convocataria y listado de asistencia)</t>
  </si>
  <si>
    <t>Maria Cristina Yañez Jacded</t>
  </si>
  <si>
    <t>Profesional Universitaria</t>
  </si>
  <si>
    <t>OPACS</t>
  </si>
  <si>
    <t>Jimena Galvis Sotelo</t>
  </si>
  <si>
    <t>Comunicar estrategias para gestion oportuna de respuesta de las PQRSDF al interior de la secretaria de salud  (anual, circular)</t>
  </si>
  <si>
    <t>Enviar alertas de respuesta en oportunidad a las PQRSDF a los funcionarios y contratistas competentes de su gestión (muestra mensual, correo a los responsables de respuesta)</t>
  </si>
  <si>
    <t xml:space="preserve">La profesional universitaria de distribucion de PQRSDF de la Oficina de Participación (responsable), semestralmente (periodicidad), verifica resultados globales de porcentajes de indices de oportunidad de respuesta de PQRSDF según direccion, emitidos por el comite de atencion al usuario y PQRSDF (proposito), comunicando a los referentes resultados para efectos de estadisticas, toma de decisiones, generar estrategias correctivas y planes de mejora al interior de cada direccion u oficina asesora (como se realiza), en caso de no producir efectos comunicar a director o jefe de oficina los resultados o mediciones (desviaciones), acta de reunion y listado de asistentes (evidencia).    </t>
  </si>
  <si>
    <t xml:space="preserve">La profesional universitaria encargada de distribucion de PQRSDF de la Oficina de Participación (responsable), semestralmente (periodicidad), valida la necesidad de capacitación en el manejo del sistema de gestión documental Mercurio al interior de la secretaria de salud para solicitar lineamiento con los responsables de la secretaria de las TICs (proposito), comunicando inconvenientes y solicitando instruccion ante casos presentados para prevenir dilaciones e implementar estrategias para la respuesta de las PQRSDF en oportunidad (como se hace), En caso de presentarse otros problemas subsanar mediante asistencia tecnica (desviaciones), Correo enviado de invitacion y listado de asistencia (evidencia).    </t>
  </si>
  <si>
    <t>CONSOLIDADO IDENTIFICACIÓN DE RIESGOS</t>
  </si>
  <si>
    <t>Manejo inadecuado o ineficaz de la imagen institucional por los usuarios internos y grupos de interés</t>
  </si>
  <si>
    <t xml:space="preserve">Cada vez que se presenten solicitudes de asistencia técnica, los profesionales de la Secretaría de Prensa y Comunicaciones prestan asistencia técnica a las dependencias que solicitan diseño y/o revisión de piezas editoriales, sonoras, gráficas y audiovisuales siguiendo el procedimiento E-CO-PR-016 Solicitud de Servicios o Asistencia Técnica. Si se evidencian desviaciones las piezas no son aprobadas y se retiene su publicación hasta que se ajusten. Como evidencia se deja el formato E-CO-FR-007 Asistencia Técnica Secretaría de Prensa y Comunicaciones. </t>
  </si>
  <si>
    <t xml:space="preserve">Implementar una encuesta de satisfacción de Asistencia Técnica y analizar trimestralmente los datos arrojados en mesa técnica de la Secretaría de Prensa y Comunicaciones. </t>
  </si>
  <si>
    <t xml:space="preserve">Jairo Cesar Ledesma Bernal </t>
  </si>
  <si>
    <t>Secretaría de Prensa y Comunicaciones</t>
  </si>
  <si>
    <t xml:space="preserve">Linna Esperanza Chaparro Ospina </t>
  </si>
  <si>
    <t>Cada vez que los enlaces de prensa de las diferentes entidades de la Gobernación de Cundinamarca realizan solicitudes, los profesionales de la Secretaría de Prensa y Comunicaciones revisan y/o elaboran material grafico, audiovisual o periodistico siguiendo el procedimiento "E-CO-PR-016 Solicitud de Servicios o Asistencia Técnica. Si se evidencias desviaciones las piezas no son aprobadas y se retiene su publicación. Como evidencia se deja el formato  E-CO-FR-014 Control de Solicitudes.</t>
  </si>
  <si>
    <t>Elaboración y publicación trimestral del informe del Indicador Oportunidad en la Atención de Necesidades de Comunicación y realizar mesa técnica trimestral para el análisis de resultados y toma de decisiones a que haya lugar.</t>
  </si>
  <si>
    <t>Pérdida de credibilidad en la información generada por la Gobernación y deficiente participación y control ciudadano que podría afectar la imagen del departamento.</t>
  </si>
  <si>
    <t>La información carece de claridad, veracidad y oportunidad sobre las metas, objetivos, y gestión de la administración departamental, o no llega de manera efectiva a los grupos de interés y comunidad objetivo.</t>
  </si>
  <si>
    <t>Posibilidad de afectación reputacional al presentarse perdida de confianza y credibilidad en la información socializada por la Gobernación de Cundinamarca a las diferentes partes interesadas externas y medios de comunicación, por falta de claridad, veracidad y oportunidad en la divulgación de la información que puede conllevar afectaciones a la participación de la comunidad y el control ciudadano.</t>
  </si>
  <si>
    <t xml:space="preserve">Cada vez que se realicen publicaciones de noticias de la Gobernación de Cundinamarca en los diferentes medios de comunicación a nivel nacional y regional (radio, prensa  televisión y web), los profesionales de la Secretaría de Prensa y Comunicaciones realizan el monitoreo de las  fuentes y la veracidad de la información contenida. Si se evidencian desviaciones se emite un boletín aclaratorio. Como evidencia se deja el consolidado de Seguimiento a Monitoreo. </t>
  </si>
  <si>
    <t>Elaboración y publicación trimestral del informe del Indicador de Presencia de la Gobernación en Medios de Comunicación y realizar mesa técnica trimestral para el análisis de resultados y toma de decisiones a que haya lugar si durante el periodo se identifican inconsistencias en las fuentes de información.</t>
  </si>
  <si>
    <t>Falta de capacitación del personal de salud en el  centro de acopio para la lectura de Temperaturas de cadena de frio</t>
  </si>
  <si>
    <t>No llevar acabo un seguimiento a la curva de temperatura del biologico que ingresa del laborarorio Pfizer.
inoportunidad en ubicación de  ultracogelador al centro de acopio departamental para el manejo de la vacuna del laboratorio Pfizer -COVID 19</t>
  </si>
  <si>
    <t xml:space="preserve">Posibilidad de afectación económica y reputacional por  Falta de capacitación del personal de salud en el  centro de acopio para la lectura del  datalogge debido a 
No llevar acabo un seguimiento a la curva de temperatura del biologico </t>
  </si>
  <si>
    <r>
      <t>El técnico operativo de la red de frio</t>
    </r>
    <r>
      <rPr>
        <sz val="9"/>
        <color rgb="FFFF0000"/>
        <rFont val="Arial Narrow"/>
        <family val="2"/>
      </rPr>
      <t xml:space="preserve"> (RESPONSABLE)</t>
    </r>
    <r>
      <rPr>
        <sz val="9"/>
        <color theme="1"/>
        <rFont val="Arial Narrow"/>
        <family val="2"/>
      </rPr>
      <t xml:space="preserve">, diariamente </t>
    </r>
    <r>
      <rPr>
        <sz val="9"/>
        <color rgb="FFFF0000"/>
        <rFont val="Arial Narrow"/>
        <family val="2"/>
      </rPr>
      <t>(PERIODICIAD)  r</t>
    </r>
    <r>
      <rPr>
        <sz val="9"/>
        <color theme="1"/>
        <rFont val="Arial Narrow"/>
        <family val="2"/>
      </rPr>
      <t>ealiza la verificación,  toma y registro de la temperatura de las neveras d y/o ultracongelador donde se almacena las vacunas</t>
    </r>
    <r>
      <rPr>
        <sz val="9"/>
        <color rgb="FFFF0000"/>
        <rFont val="Arial Narrow"/>
        <family val="2"/>
      </rPr>
      <t xml:space="preserve"> (PROPOSITO)  </t>
    </r>
    <r>
      <rPr>
        <sz val="9"/>
        <color theme="1"/>
        <rFont val="Arial Narrow"/>
        <family val="2"/>
      </rPr>
      <t>mediante el registro en una planilla,  2 veces al día (mañana/tarde) (</t>
    </r>
    <r>
      <rPr>
        <sz val="9"/>
        <color rgb="FFFF0000"/>
        <rFont val="Arial Narrow"/>
        <family val="2"/>
      </rPr>
      <t>COMO LO REALIZA)</t>
    </r>
    <r>
      <rPr>
        <sz val="9"/>
        <color theme="1"/>
        <rFont val="Arial Narrow"/>
        <family val="2"/>
      </rPr>
      <t>. En caso de no llevar a cabo la  toma  y el registro de temperutarra, se notifica a la coordinadora del programa , a la subdirectora con copia al director de la dirección de Salud Pública.</t>
    </r>
    <r>
      <rPr>
        <sz val="9"/>
        <color rgb="FFFF0000"/>
        <rFont val="Arial Narrow"/>
        <family val="2"/>
      </rPr>
      <t xml:space="preserve"> (DESVIACIÓN)</t>
    </r>
    <r>
      <rPr>
        <sz val="9"/>
        <color theme="1"/>
        <rFont val="Arial Narrow"/>
        <family val="2"/>
      </rPr>
      <t xml:space="preserve">. Planillas de registro de temperatura </t>
    </r>
    <r>
      <rPr>
        <sz val="9"/>
        <color rgb="FFFF0000"/>
        <rFont val="Arial Narrow"/>
        <family val="2"/>
      </rPr>
      <t>(EVIDENCIA)</t>
    </r>
  </si>
  <si>
    <t xml:space="preserve">Realizar re inducción  al manejo de cadena de frio del programa ampliadode inmunizaciones . Evidencia Acta de inducción y listado de asistencia. </t>
  </si>
  <si>
    <t>Myriam Arcelia Daza</t>
  </si>
  <si>
    <t xml:space="preserve">Profesional Univeritario </t>
  </si>
  <si>
    <t xml:space="preserve">Subdireccion De Gestion, Promocion Y Acciones De Salud Publica </t>
  </si>
  <si>
    <t>Paola Linares- Subdirectora De Gestión, Promoción Y Acciones De Salud Pública.</t>
  </si>
  <si>
    <r>
      <t>La profesional univesitaria de PAI , promoción y acciones de salud pública.</t>
    </r>
    <r>
      <rPr>
        <sz val="9"/>
        <color rgb="FFFF0000"/>
        <rFont val="Arial Narrow"/>
        <family val="2"/>
      </rPr>
      <t>(RESPONSABLE)</t>
    </r>
    <r>
      <rPr>
        <sz val="9"/>
        <color theme="1"/>
        <rFont val="Arial Narrow"/>
        <family val="2"/>
      </rPr>
      <t xml:space="preserve"> mensual </t>
    </r>
    <r>
      <rPr>
        <sz val="9"/>
        <color rgb="FFFF0000"/>
        <rFont val="Arial Narrow"/>
        <family val="2"/>
      </rPr>
      <t>(PERIODICIAD</t>
    </r>
    <r>
      <rPr>
        <sz val="9"/>
        <color theme="1"/>
        <rFont val="Arial Narrow"/>
        <family val="2"/>
      </rPr>
      <t xml:space="preserve">) realiza seguimiento a los compromisos que se adquieren en reunión con el equipo de programa ampliado de inmunizaciones  departamental.  </t>
    </r>
    <r>
      <rPr>
        <sz val="9"/>
        <color rgb="FFFF0000"/>
        <rFont val="Arial Narrow"/>
        <family val="2"/>
      </rPr>
      <t>(PROPOSITO)</t>
    </r>
    <r>
      <rPr>
        <sz val="9"/>
        <color theme="1"/>
        <rFont val="Arial Narrow"/>
        <family val="2"/>
      </rPr>
      <t xml:space="preserve"> llevando la consolidación de información en  una matriz con los respectivos resposabales. </t>
    </r>
    <r>
      <rPr>
        <sz val="9"/>
        <color rgb="FFFF0000"/>
        <rFont val="Arial Narrow"/>
        <family val="2"/>
      </rPr>
      <t>(COMO LO REALIZA)</t>
    </r>
    <r>
      <rPr>
        <sz val="9"/>
        <color theme="1"/>
        <rFont val="Arial Narrow"/>
        <family val="2"/>
      </rPr>
      <t xml:space="preserve">. En caso de  no cumplir con los compromisos se reporta un informe al secretario de Salud (DESVIACIÓN). acta </t>
    </r>
    <r>
      <rPr>
        <sz val="9"/>
        <color rgb="FFFF0000"/>
        <rFont val="Arial Narrow"/>
        <family val="2"/>
      </rPr>
      <t xml:space="preserve">(EVIDENCIA)  </t>
    </r>
  </si>
  <si>
    <t xml:space="preserve">Reajustae el plan de capacitacion  incluyendo lineamientos técnicos, protocolos y procedimientos establecidos desde el Ministerio de Proteccion Social y Salud  . Evidencia Plan de capacitación ajustado </t>
  </si>
  <si>
    <t xml:space="preserve">El profesional Universitario del programa ampliado de inmunización RESPONSABLE mensulamnete   (PERIODICIAD). Realiza la  verificación y la evaluación  de las capacitaciones llevadas a cabo . (PROPOSITO) mediante l revisión  de lista de chequeo,  convocatoria y el resultado de la evaluación. (COMO LO REALIZA) en caso de que no se lleva a cabo se notifcar a la subdirector(DESVIACIÓN). Lista de chequeo de verificación.(EVIDENCIA)  </t>
  </si>
  <si>
    <t xml:space="preserve">Actualización del Plan departamental de Vacunación contra la Covid-19. Evidencia Plan departamental de vacunación actualizado. </t>
  </si>
  <si>
    <r>
      <t xml:space="preserve">El profesional Universitario </t>
    </r>
    <r>
      <rPr>
        <sz val="9"/>
        <color rgb="FFFF0000"/>
        <rFont val="Arial Narrow"/>
        <family val="2"/>
      </rPr>
      <t>(RESPONSABLE)</t>
    </r>
    <r>
      <rPr>
        <sz val="9"/>
        <color theme="1"/>
        <rFont val="Arial Narrow"/>
        <family val="2"/>
      </rPr>
      <t xml:space="preserve">,  a necesidad  </t>
    </r>
    <r>
      <rPr>
        <sz val="9"/>
        <color rgb="FFFF0000"/>
        <rFont val="Arial Narrow"/>
        <family val="2"/>
      </rPr>
      <t>(PERIODICIAD)  r</t>
    </r>
    <r>
      <rPr>
        <sz val="9"/>
        <color theme="1"/>
        <rFont val="Arial Narrow"/>
        <family val="2"/>
      </rPr>
      <t xml:space="preserve">ealiza compra del equipo de medición   y la certificaciónn  anual del rango de  temperatura de ultracongelación  por una entidad compatente  </t>
    </r>
    <r>
      <rPr>
        <sz val="9"/>
        <color rgb="FFFF0000"/>
        <rFont val="Arial Narrow"/>
        <family val="2"/>
      </rPr>
      <t xml:space="preserve"> (PROPOSITO)  </t>
    </r>
    <r>
      <rPr>
        <sz val="9"/>
        <color theme="1"/>
        <rFont val="Arial Narrow"/>
        <family val="2"/>
      </rPr>
      <t xml:space="preserve">mediante  realizaron de proceso de contratación y estduios previos </t>
    </r>
    <r>
      <rPr>
        <sz val="9"/>
        <color rgb="FFFF0000"/>
        <rFont val="Arial Narrow"/>
        <family val="2"/>
      </rPr>
      <t>COMO LO REALIZA)</t>
    </r>
    <r>
      <rPr>
        <sz val="9"/>
        <color theme="1"/>
        <rFont val="Arial Narrow"/>
        <family val="2"/>
      </rPr>
      <t>. En caso de no llevar a cabo  se notificará  a la subdirectora con copia al director de la dirección de Salud Pública.</t>
    </r>
    <r>
      <rPr>
        <sz val="9"/>
        <color rgb="FFFF0000"/>
        <rFont val="Arial Narrow"/>
        <family val="2"/>
      </rPr>
      <t xml:space="preserve"> (DESVIACIÓN)</t>
    </r>
    <r>
      <rPr>
        <sz val="9"/>
        <color theme="1"/>
        <rFont val="Arial Narrow"/>
        <family val="2"/>
      </rPr>
      <t xml:space="preserve">. precontractuales  </t>
    </r>
    <r>
      <rPr>
        <sz val="9"/>
        <color rgb="FFFF0000"/>
        <rFont val="Arial Narrow"/>
        <family val="2"/>
      </rPr>
      <t>(EVIDENCIA)</t>
    </r>
  </si>
  <si>
    <t xml:space="preserve">Revisión y ajustes de  los protocolos y procedimientos ya establecidos para la recepción,  distribución y manejo de la cadena de frio  del biológico- COVID. Evidencia protocolos y procedimientos ajustados a normatividad vigente. </t>
  </si>
  <si>
    <t>Mónica Silva</t>
  </si>
  <si>
    <r>
      <t>El técnico operativo de la red de frio</t>
    </r>
    <r>
      <rPr>
        <sz val="9"/>
        <color rgb="FFFF0000"/>
        <rFont val="Arial Narrow"/>
        <family val="2"/>
      </rPr>
      <t xml:space="preserve"> (RESPONSABLE)</t>
    </r>
    <r>
      <rPr>
        <sz val="9"/>
        <color theme="1"/>
        <rFont val="Arial Narrow"/>
        <family val="2"/>
      </rPr>
      <t xml:space="preserve">, diariamente </t>
    </r>
    <r>
      <rPr>
        <sz val="9"/>
        <color rgb="FFFF0000"/>
        <rFont val="Arial Narrow"/>
        <family val="2"/>
      </rPr>
      <t>(PERIODICIAD)  r</t>
    </r>
    <r>
      <rPr>
        <sz val="9"/>
        <color theme="1"/>
        <rFont val="Arial Narrow"/>
        <family val="2"/>
      </rPr>
      <t xml:space="preserve">ealiza verficiación y análisis comparativo  a partir de los registros de la toma de temperatura  con los equipos de medición en la red de frios para ultracongelación    </t>
    </r>
    <r>
      <rPr>
        <sz val="9"/>
        <color rgb="FFFF0000"/>
        <rFont val="Arial Narrow"/>
        <family val="2"/>
      </rPr>
      <t xml:space="preserve"> (PROPOSITO)  </t>
    </r>
    <r>
      <rPr>
        <sz val="9"/>
        <color theme="1"/>
        <rFont val="Arial Narrow"/>
        <family val="2"/>
      </rPr>
      <t>mediante el registro en una planilla,  2 veces al día (mañana/tarde) (</t>
    </r>
    <r>
      <rPr>
        <sz val="9"/>
        <color rgb="FFFF0000"/>
        <rFont val="Arial Narrow"/>
        <family val="2"/>
      </rPr>
      <t>COMO LO REALIZA)</t>
    </r>
    <r>
      <rPr>
        <sz val="9"/>
        <color theme="1"/>
        <rFont val="Arial Narrow"/>
        <family val="2"/>
      </rPr>
      <t>. En caso de no llevar a cabo la  toma  y el registro de temperutarra, se notifica a la coordinadora del programa , a la subdirectora con copia al director de la dirección de Salud Pública.</t>
    </r>
    <r>
      <rPr>
        <sz val="9"/>
        <color rgb="FFFF0000"/>
        <rFont val="Arial Narrow"/>
        <family val="2"/>
      </rPr>
      <t xml:space="preserve"> (DESVIACIÓN)</t>
    </r>
    <r>
      <rPr>
        <sz val="9"/>
        <color theme="1"/>
        <rFont val="Arial Narrow"/>
        <family val="2"/>
      </rPr>
      <t xml:space="preserve">. Planillas de registro de temperatura </t>
    </r>
    <r>
      <rPr>
        <sz val="9"/>
        <color rgb="FFFF0000"/>
        <rFont val="Arial Narrow"/>
        <family val="2"/>
      </rPr>
      <t>(EVIDENCIA)</t>
    </r>
  </si>
  <si>
    <t>Recoleccion diaria de informacion de aplicación de vacunas covid-19.  Evidencia cargue en el sistema SAGA .</t>
  </si>
  <si>
    <t>profesinal universitario</t>
  </si>
  <si>
    <r>
      <t xml:space="preserve">El profesional Univeristario  </t>
    </r>
    <r>
      <rPr>
        <sz val="9"/>
        <color rgb="FFFF0000"/>
        <rFont val="Arial Narrow"/>
        <family val="2"/>
      </rPr>
      <t>(RESPONSABLE)</t>
    </r>
    <r>
      <rPr>
        <sz val="9"/>
        <color theme="1"/>
        <rFont val="Arial Narrow"/>
        <family val="2"/>
      </rPr>
      <t xml:space="preserve"> mensualmente </t>
    </r>
    <r>
      <rPr>
        <sz val="9"/>
        <color rgb="FFFF0000"/>
        <rFont val="Arial Narrow"/>
        <family val="2"/>
      </rPr>
      <t xml:space="preserve"> (PERIODICIAD) </t>
    </r>
    <r>
      <rPr>
        <sz val="9"/>
        <color theme="1"/>
        <rFont val="Arial Narrow"/>
        <family val="2"/>
      </rPr>
      <t xml:space="preserve"> realiza seguimiento a las cobeturas  del  Plan departamental de vacunación contra el Covid-19 (PROPOSITO) mediante la revisión de la información emitida por los diferentes municipios  </t>
    </r>
    <r>
      <rPr>
        <sz val="9"/>
        <color rgb="FFFF0000"/>
        <rFont val="Arial Narrow"/>
        <family val="2"/>
      </rPr>
      <t>(COMO LO REALIZA)</t>
    </r>
    <r>
      <rPr>
        <sz val="9"/>
        <color theme="1"/>
        <rFont val="Arial Narrow"/>
        <family val="2"/>
      </rPr>
      <t xml:space="preserve"> En caso se notificara mediante correo institucional a los actores la oportunidad de la entrega de la información </t>
    </r>
    <r>
      <rPr>
        <sz val="9"/>
        <color rgb="FFFF0000"/>
        <rFont val="Arial Narrow"/>
        <family val="2"/>
      </rPr>
      <t xml:space="preserve">(DESVIACIÓN). </t>
    </r>
    <r>
      <rPr>
        <sz val="9"/>
        <color theme="1"/>
        <rFont val="Arial Narrow"/>
        <family val="2"/>
      </rPr>
      <t xml:space="preserve">Informe </t>
    </r>
    <r>
      <rPr>
        <sz val="9"/>
        <color rgb="FFFF0000"/>
        <rFont val="Arial Narrow"/>
        <family val="2"/>
      </rPr>
      <t>(EVIDENCIA)</t>
    </r>
  </si>
  <si>
    <t>Traslado  del ultracongelador al  centro de acopio del departamento. Evidencia documento de traslado ultracongelador .</t>
  </si>
  <si>
    <t>Continuar con la implementación del semillero de jovenes emprendedores TIC, que tiene por objetivo desarrollar capacidades en TIC a jóvenes de la región buscando soluciones tecnológicas a problemáticas territoriales. Evidencia: Contrato de formación para jóvenes emprendedores en desarrolllo de habilidades TIC, Informes de ejecución, Informes de supervisión.</t>
  </si>
  <si>
    <t xml:space="preserve">Yamile Gamboa Vivas </t>
  </si>
  <si>
    <t xml:space="preserve">La Jefe de Oficina de Participación (responsable), Semestralmente (periodicidad), Verifica la existencia permanente de recurso humano disponible con competencias técnicas en distribución de PQRSDF (proposito),  Reasignando suplencia de recurso humano en caso de ausencia del titular (como se realiza),  En caso de que no exista suplencia del recurso humano buscar otro profesional dentro de la oficina de participacion (desviaciones), Acto Administrativo (evidencia).    </t>
  </si>
  <si>
    <t xml:space="preserve">La profesional universitaria de distribucion de PQRSDF de la Oficina de Participación (responsable), segun necesidad (periodicidad), verifica la PQRSDF distribuida al interior de la secretaria de salud para iniciar solicitud de respuesta en oportunidad (proposito), validando la informacion en el aplicativo mercurio, y adelantar correos de alarma recordando la oportunidad de respuesta y dias de proxima a vencer (como se realiza), en caso de omision a las alarmas  estas seran remitidas en matriz  de proximas a vencer, a jefe de oficina de Participacion (desviación), correo institucional (evidencia). </t>
  </si>
  <si>
    <t xml:space="preserve">La profesional universitaria de distribucion de PQRSDF de la Oficina de Participación (responsable), semestralmente (periodicidad), Verifica la existencia permanente de referente principal y suplente para la gestion de PQRSDF al interior de cada area (proposito),  Enviando correo institucional a los directores y/o jefes de oficina, con solicitud de informacion relacionada con profesional asignado de la subdistribucion de PQRSDF en su area (como se realiza),  En caso de que no exista profesional asignado de la subdistribucion de PQRSDF de algun area la jefe de oficina informara al secretario de salud (desviaciones), Correo enviado de solicitud de asignacion de principal y suplente de las acciones de distribucion y gestion de PQRSDF al interior de cada area  (evidencia).    </t>
  </si>
  <si>
    <t xml:space="preserve">El secretario de Salud (responsable), segun necesidad (periodicidad), Monitorea el personal responsable del vencimiento de respuesta de las PQRSDF cuando se presenta (proposito),  Solicitando el reporte a la Oficina de Participacion y Atencion al Ciudadano de la relacion de funcionarios que tengan PQRSDF vencidas (como se realiza), En caso de que no se tenga reporte se solicitara directamente a secretaria general (desviaciones), Reporte de funcionarios con respuestas de PQRSDF vencidas (evidencia).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</si>
</sst>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d/m/yyyy"/>
  </numFmts>
  <fonts count="8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6"/>
      <name val="Arial Narrow"/>
      <family val="2"/>
    </font>
    <font>
      <sz val="9"/>
      <color theme="1"/>
      <name val="Arial Narrow"/>
      <family val="2"/>
    </font>
    <font>
      <sz val="9"/>
      <color theme="1"/>
      <name val="Calibri"/>
      <family val="2"/>
      <scheme val="minor"/>
    </font>
    <font>
      <sz val="9"/>
      <color indexed="81"/>
      <name val="Tahoma"/>
      <family val="2"/>
    </font>
    <font>
      <b/>
      <sz val="9"/>
      <color indexed="81"/>
      <name val="Tahoma"/>
      <family val="2"/>
    </font>
    <font>
      <b/>
      <sz val="11"/>
      <color theme="0"/>
      <name val="Arial Narrow"/>
      <family val="2"/>
    </font>
    <font>
      <b/>
      <sz val="10"/>
      <color theme="0"/>
      <name val="Arial Narrow"/>
      <family val="2"/>
    </font>
    <font>
      <b/>
      <sz val="12"/>
      <color theme="0"/>
      <name val="Arial Narrow"/>
      <family val="2"/>
    </font>
    <font>
      <b/>
      <sz val="6"/>
      <color theme="0"/>
      <name val="Arial Narrow"/>
      <family val="2"/>
    </font>
    <font>
      <sz val="12"/>
      <name val="Arial Narrow"/>
      <family val="2"/>
    </font>
    <font>
      <sz val="9"/>
      <color rgb="FFFF0000"/>
      <name val="Arial Narrow"/>
      <family val="2"/>
    </font>
    <font>
      <sz val="9"/>
      <color theme="1"/>
      <name val="Arial Narrow"/>
    </font>
    <font>
      <b/>
      <sz val="9"/>
      <color theme="1"/>
      <name val="Arial Narrow"/>
    </font>
    <font>
      <sz val="11"/>
      <name val="Calibri"/>
    </font>
    <font>
      <sz val="9"/>
      <name val="Arial Narrow"/>
    </font>
    <font>
      <sz val="10"/>
      <color theme="1"/>
      <name val="Arial Narrow"/>
      <family val="2"/>
    </font>
    <font>
      <sz val="9"/>
      <color rgb="FF00B050"/>
      <name val="Calibri"/>
      <family val="2"/>
      <scheme val="minor"/>
    </font>
    <font>
      <sz val="9"/>
      <name val="Calibri"/>
      <family val="2"/>
      <scheme val="minor"/>
    </font>
    <font>
      <sz val="10"/>
      <color rgb="FFFF0000"/>
      <name val="Calibri"/>
      <family val="2"/>
      <scheme val="minor"/>
    </font>
    <font>
      <sz val="9"/>
      <color rgb="FF000000"/>
      <name val="Arial Narrow"/>
    </font>
    <font>
      <b/>
      <sz val="9"/>
      <color rgb="FF000000"/>
      <name val="Arial Narrow"/>
    </font>
    <font>
      <b/>
      <sz val="12"/>
      <color rgb="FFFF0000"/>
      <name val="Calibri"/>
      <family val="2"/>
      <scheme val="minor"/>
    </font>
    <font>
      <sz val="12"/>
      <color rgb="FFFF0000"/>
      <name val="Calibri"/>
      <family val="2"/>
      <scheme val="minor"/>
    </font>
    <font>
      <sz val="12"/>
      <name val="Calibri"/>
      <family val="2"/>
      <scheme val="minor"/>
    </font>
    <font>
      <b/>
      <sz val="11"/>
      <color rgb="FF7030A0"/>
      <name val="Calibri"/>
      <family val="2"/>
      <scheme val="minor"/>
    </font>
    <font>
      <sz val="11"/>
      <color rgb="FF7030A0"/>
      <name val="Calibri"/>
      <family val="2"/>
      <scheme val="minor"/>
    </font>
    <font>
      <b/>
      <sz val="11"/>
      <color theme="7"/>
      <name val="Calibri"/>
      <family val="2"/>
      <scheme val="minor"/>
    </font>
    <font>
      <i/>
      <sz val="9"/>
      <color theme="1"/>
      <name val="Arial Narrow"/>
      <family val="2"/>
    </font>
    <font>
      <sz val="9"/>
      <color rgb="FF000000"/>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0"/>
        <bgColor theme="0"/>
      </patternFill>
    </fill>
  </fills>
  <borders count="9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dashed">
        <color theme="9" tint="-0.24994659260841701"/>
      </left>
      <right style="dashed">
        <color theme="9" tint="-0.24994659260841701"/>
      </right>
      <top style="medium">
        <color indexed="64"/>
      </top>
      <bottom style="dashed">
        <color theme="9" tint="-0.24994659260841701"/>
      </bottom>
      <diagonal/>
    </border>
    <border>
      <left style="dotted">
        <color rgb="FFE36C09"/>
      </left>
      <right style="dotted">
        <color rgb="FFE36C09"/>
      </right>
      <top style="dotted">
        <color rgb="FFE36C09"/>
      </top>
      <bottom/>
      <diagonal/>
    </border>
    <border>
      <left style="dotted">
        <color rgb="FFE36C09"/>
      </left>
      <right style="dotted">
        <color rgb="FFE36C09"/>
      </right>
      <top style="dotted">
        <color rgb="FFE36C09"/>
      </top>
      <bottom style="dotted">
        <color rgb="FFE36C09"/>
      </bottom>
      <diagonal/>
    </border>
    <border>
      <left style="dotted">
        <color rgb="FFE36C09"/>
      </left>
      <right style="dotted">
        <color rgb="FFE36C09"/>
      </right>
      <top/>
      <bottom/>
      <diagonal/>
    </border>
    <border>
      <left style="dotted">
        <color rgb="FFE36C09"/>
      </left>
      <right style="dotted">
        <color rgb="FFE36C09"/>
      </right>
      <top/>
      <bottom style="dotted">
        <color rgb="FFE36C09"/>
      </bottom>
      <diagonal/>
    </border>
    <border>
      <left style="mediumDashed">
        <color rgb="FFE36C09"/>
      </left>
      <right style="medium">
        <color rgb="FFCCCCCC"/>
      </right>
      <top style="mediumDashed">
        <color rgb="FFE36C09"/>
      </top>
      <bottom/>
      <diagonal/>
    </border>
    <border>
      <left style="medium">
        <color rgb="FFCCCCCC"/>
      </left>
      <right style="medium">
        <color rgb="FFCCCCCC"/>
      </right>
      <top style="mediumDashed">
        <color rgb="FFE36C09"/>
      </top>
      <bottom/>
      <diagonal/>
    </border>
    <border>
      <left style="medium">
        <color rgb="FFCCCCCC"/>
      </left>
      <right style="mediumDashed">
        <color rgb="FFE36C09"/>
      </right>
      <top style="mediumDashed">
        <color rgb="FFE36C09"/>
      </top>
      <bottom/>
      <diagonal/>
    </border>
    <border>
      <left style="mediumDashed">
        <color rgb="FFE36C09"/>
      </left>
      <right style="medium">
        <color rgb="FFCCCCCC"/>
      </right>
      <top/>
      <bottom/>
      <diagonal/>
    </border>
    <border>
      <left style="medium">
        <color rgb="FFCCCCCC"/>
      </left>
      <right style="medium">
        <color rgb="FFCCCCCC"/>
      </right>
      <top/>
      <bottom/>
      <diagonal/>
    </border>
    <border>
      <left style="medium">
        <color rgb="FFCCCCCC"/>
      </left>
      <right style="mediumDashed">
        <color rgb="FFE36C09"/>
      </right>
      <top/>
      <bottom/>
      <diagonal/>
    </border>
    <border>
      <left style="mediumDashed">
        <color rgb="FFE36C09"/>
      </left>
      <right style="medium">
        <color rgb="FFCCCCCC"/>
      </right>
      <top/>
      <bottom style="mediumDashed">
        <color rgb="FFE36C09"/>
      </bottom>
      <diagonal/>
    </border>
    <border>
      <left style="medium">
        <color rgb="FFCCCCCC"/>
      </left>
      <right style="medium">
        <color rgb="FFCCCCCC"/>
      </right>
      <top/>
      <bottom style="mediumDashed">
        <color rgb="FFE36C09"/>
      </bottom>
      <diagonal/>
    </border>
    <border>
      <left style="medium">
        <color rgb="FFCCCCCC"/>
      </left>
      <right style="mediumDashed">
        <color rgb="FFE36C09"/>
      </right>
      <top/>
      <bottom style="mediumDashed">
        <color rgb="FFE36C09"/>
      </bottom>
      <diagonal/>
    </border>
    <border>
      <left style="dotted">
        <color rgb="FFE46C0A"/>
      </left>
      <right style="dotted">
        <color rgb="FFE46C0A"/>
      </right>
      <top style="dotted">
        <color rgb="FFE46C0A"/>
      </top>
      <bottom/>
      <diagonal/>
    </border>
    <border>
      <left style="dotted">
        <color rgb="FFE46C0A"/>
      </left>
      <right style="dotted">
        <color rgb="FFE46C0A"/>
      </right>
      <top style="dotted">
        <color rgb="FFE46C0A"/>
      </top>
      <bottom style="dotted">
        <color rgb="FFE46C0A"/>
      </bottom>
      <diagonal/>
    </border>
    <border>
      <left style="dotted">
        <color rgb="FFE46C0A"/>
      </left>
      <right style="dotted">
        <color rgb="FFE46C0A"/>
      </right>
      <top/>
      <bottom/>
      <diagonal/>
    </border>
    <border>
      <left style="dotted">
        <color rgb="FFE46C0A"/>
      </left>
      <right style="dotted">
        <color rgb="FFE46C0A"/>
      </right>
      <top/>
      <bottom style="dotted">
        <color rgb="FFE46C0A"/>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theme="9" tint="-0.24994659260841701"/>
      </left>
      <right/>
      <top style="dashed">
        <color theme="9" tint="-0.24994659260841701"/>
      </top>
      <bottom/>
      <diagonal/>
    </border>
    <border>
      <left/>
      <right style="mediumDashed">
        <color rgb="FFE26B0A"/>
      </right>
      <top style="mediumDashed">
        <color rgb="FFE26B0A"/>
      </top>
      <bottom style="mediumDashed">
        <color rgb="FFE26B0A"/>
      </bottom>
      <diagonal/>
    </border>
  </borders>
  <cellStyleXfs count="7">
    <xf numFmtId="0" fontId="0" fillId="0" borderId="0"/>
    <xf numFmtId="9" fontId="13" fillId="0" borderId="0" applyFont="0" applyFill="0" applyBorder="0" applyAlignment="0" applyProtection="0"/>
    <xf numFmtId="0" fontId="45" fillId="0" borderId="0"/>
    <xf numFmtId="0" fontId="46" fillId="0" borderId="0"/>
    <xf numFmtId="0" fontId="5" fillId="0" borderId="0"/>
    <xf numFmtId="164" fontId="13" fillId="0" borderId="0" applyFont="0" applyFill="0" applyBorder="0" applyAlignment="0" applyProtection="0"/>
    <xf numFmtId="164" fontId="13" fillId="0" borderId="0" applyFont="0" applyFill="0" applyBorder="0" applyAlignment="0" applyProtection="0"/>
  </cellStyleXfs>
  <cellXfs count="57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11" xfId="0" applyFont="1" applyFill="1" applyBorder="1" applyAlignment="1">
      <alignment horizontal="center" vertical="center" wrapText="1" readingOrder="1"/>
    </xf>
    <xf numFmtId="0" fontId="9" fillId="0" borderId="11" xfId="0" applyFont="1" applyBorder="1" applyAlignment="1">
      <alignment horizontal="justify" vertical="center" wrapText="1" readingOrder="1"/>
    </xf>
    <xf numFmtId="9" fontId="9" fillId="0" borderId="11"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1"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19" xfId="0" applyFont="1" applyFill="1" applyBorder="1" applyAlignment="1" applyProtection="1">
      <alignment horizontal="center" wrapText="1" readingOrder="1"/>
      <protection hidden="1"/>
    </xf>
    <xf numFmtId="0" fontId="18" fillId="12" borderId="13" xfId="0" applyFont="1" applyFill="1" applyBorder="1" applyAlignment="1" applyProtection="1">
      <alignment horizont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15"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16"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2" borderId="16"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9"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9"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22" fillId="13" borderId="19" xfId="0" applyFont="1" applyFill="1" applyBorder="1" applyAlignment="1" applyProtection="1">
      <alignment horizontal="center" wrapText="1" readingOrder="1"/>
      <protection hidden="1"/>
    </xf>
    <xf numFmtId="0" fontId="0" fillId="3" borderId="0" xfId="0" applyFill="1"/>
    <xf numFmtId="0" fontId="47" fillId="3" borderId="47" xfId="2" applyFont="1" applyFill="1" applyBorder="1" applyProtection="1"/>
    <xf numFmtId="0" fontId="47" fillId="3" borderId="48" xfId="2" applyFont="1" applyFill="1" applyBorder="1" applyProtection="1"/>
    <xf numFmtId="0" fontId="47" fillId="3" borderId="49" xfId="2" applyFont="1" applyFill="1" applyBorder="1" applyProtection="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30" xfId="0" applyFont="1" applyFill="1" applyBorder="1" applyAlignment="1">
      <alignment horizontal="center" vertical="center" wrapText="1" readingOrder="1"/>
    </xf>
    <xf numFmtId="0" fontId="36" fillId="3" borderId="30" xfId="0" applyFont="1" applyFill="1" applyBorder="1" applyAlignment="1">
      <alignment horizontal="justify" vertical="center" wrapText="1" readingOrder="1"/>
    </xf>
    <xf numFmtId="9" fontId="35" fillId="3" borderId="39" xfId="0" applyNumberFormat="1" applyFont="1" applyFill="1" applyBorder="1" applyAlignment="1">
      <alignment horizontal="center" vertical="center" wrapText="1" readingOrder="1"/>
    </xf>
    <xf numFmtId="0" fontId="35" fillId="3" borderId="29" xfId="0" applyFont="1" applyFill="1" applyBorder="1" applyAlignment="1">
      <alignment horizontal="center" vertical="center" wrapText="1" readingOrder="1"/>
    </xf>
    <xf numFmtId="0" fontId="36" fillId="3" borderId="29" xfId="0" applyFont="1" applyFill="1" applyBorder="1" applyAlignment="1">
      <alignment horizontal="justify" vertical="center" wrapText="1" readingOrder="1"/>
    </xf>
    <xf numFmtId="9" fontId="35" fillId="3" borderId="34" xfId="0" applyNumberFormat="1"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5" fillId="3" borderId="36" xfId="0" applyFont="1" applyFill="1" applyBorder="1" applyAlignment="1">
      <alignment horizontal="center" vertical="center" wrapText="1" readingOrder="1"/>
    </xf>
    <xf numFmtId="0" fontId="36" fillId="3" borderId="36" xfId="0" applyFont="1" applyFill="1" applyBorder="1" applyAlignment="1">
      <alignment horizontal="justify" vertical="center" wrapText="1" readingOrder="1"/>
    </xf>
    <xf numFmtId="0" fontId="36" fillId="3" borderId="37" xfId="0" applyFont="1" applyFill="1" applyBorder="1" applyAlignment="1">
      <alignment horizontal="center" vertical="center" wrapText="1" readingOrder="1"/>
    </xf>
    <xf numFmtId="0" fontId="44" fillId="3" borderId="0" xfId="0" applyFont="1" applyFill="1"/>
    <xf numFmtId="0" fontId="35" fillId="15" borderId="41" xfId="0" applyFont="1" applyFill="1" applyBorder="1" applyAlignment="1">
      <alignment horizontal="center" vertical="center" wrapText="1" readingOrder="1"/>
    </xf>
    <xf numFmtId="0" fontId="35" fillId="15" borderId="42"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14" fillId="3" borderId="0" xfId="0" applyFont="1" applyFill="1"/>
    <xf numFmtId="0" fontId="4" fillId="3" borderId="0" xfId="0" applyFont="1" applyFill="1" applyAlignment="1">
      <alignment horizontal="left" vertical="center"/>
    </xf>
    <xf numFmtId="0" fontId="47" fillId="3" borderId="14" xfId="2" applyFont="1" applyFill="1" applyBorder="1" applyProtection="1"/>
    <xf numFmtId="0" fontId="52" fillId="3" borderId="0" xfId="0" applyFont="1" applyFill="1" applyBorder="1" applyAlignment="1" applyProtection="1">
      <alignment horizontal="left" vertical="center" wrapText="1"/>
    </xf>
    <xf numFmtId="0" fontId="47" fillId="3" borderId="0" xfId="2" applyFont="1" applyFill="1" applyBorder="1" applyProtection="1"/>
    <xf numFmtId="0" fontId="47" fillId="3" borderId="15" xfId="2" applyFont="1" applyFill="1" applyBorder="1" applyProtection="1"/>
    <xf numFmtId="0" fontId="47" fillId="3" borderId="16" xfId="2" applyFont="1" applyFill="1" applyBorder="1" applyProtection="1"/>
    <xf numFmtId="0" fontId="47" fillId="3" borderId="18" xfId="2" applyFont="1" applyFill="1" applyBorder="1" applyProtection="1"/>
    <xf numFmtId="0" fontId="47" fillId="3" borderId="17" xfId="2" applyFont="1" applyFill="1" applyBorder="1" applyProtection="1"/>
    <xf numFmtId="0" fontId="51" fillId="3" borderId="0"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0" xfId="2" quotePrefix="1" applyFont="1" applyFill="1" applyBorder="1" applyAlignment="1" applyProtection="1">
      <alignment horizontal="left" vertical="center" wrapText="1"/>
    </xf>
    <xf numFmtId="0" fontId="47" fillId="3" borderId="15" xfId="2" applyFont="1" applyFill="1" applyBorder="1" applyAlignment="1" applyProtection="1"/>
    <xf numFmtId="0" fontId="49" fillId="3" borderId="14" xfId="2" quotePrefix="1" applyFont="1" applyFill="1" applyBorder="1" applyAlignment="1" applyProtection="1">
      <alignment horizontal="left" vertical="top" wrapText="1"/>
    </xf>
    <xf numFmtId="0" fontId="50" fillId="3" borderId="0" xfId="2" quotePrefix="1" applyFont="1" applyFill="1" applyBorder="1" applyAlignment="1" applyProtection="1">
      <alignment horizontal="left" vertical="top" wrapText="1"/>
    </xf>
    <xf numFmtId="0" fontId="50" fillId="3" borderId="15" xfId="2" quotePrefix="1" applyFont="1" applyFill="1" applyBorder="1" applyAlignment="1" applyProtection="1">
      <alignment horizontal="left" vertical="top" wrapText="1"/>
    </xf>
    <xf numFmtId="0" fontId="56" fillId="3" borderId="0" xfId="0" applyFont="1" applyFill="1" applyBorder="1" applyAlignment="1">
      <alignment horizontal="justify" vertical="center" wrapText="1" readingOrder="1"/>
    </xf>
    <xf numFmtId="0" fontId="50" fillId="3" borderId="0" xfId="0" applyFont="1" applyFill="1" applyAlignment="1">
      <alignment vertical="center"/>
    </xf>
    <xf numFmtId="0" fontId="57" fillId="0" borderId="2" xfId="0" applyFont="1" applyBorder="1" applyAlignment="1" applyProtection="1">
      <alignment horizontal="justify" vertical="center" wrapText="1"/>
      <protection locked="0"/>
    </xf>
    <xf numFmtId="0" fontId="57" fillId="0" borderId="2" xfId="0" applyFont="1" applyBorder="1" applyAlignment="1" applyProtection="1">
      <alignment horizontal="justify" vertical="center"/>
      <protection locked="0"/>
    </xf>
    <xf numFmtId="0" fontId="33" fillId="3" borderId="0" xfId="0" applyFont="1" applyFill="1"/>
    <xf numFmtId="0" fontId="33" fillId="0" borderId="0" xfId="0" applyFont="1"/>
    <xf numFmtId="0" fontId="33" fillId="3" borderId="0" xfId="0" applyFont="1" applyFill="1" applyAlignment="1">
      <alignment horizontal="center" vertical="center"/>
    </xf>
    <xf numFmtId="0" fontId="33" fillId="3" borderId="0" xfId="0" applyFont="1" applyFill="1" applyAlignment="1">
      <alignment horizontal="left" vertical="center"/>
    </xf>
    <xf numFmtId="0" fontId="33" fillId="3" borderId="0" xfId="0" applyFont="1" applyFill="1" applyAlignment="1">
      <alignment horizontal="center"/>
    </xf>
    <xf numFmtId="0" fontId="57" fillId="0" borderId="2" xfId="0" applyFont="1" applyBorder="1" applyAlignment="1" applyProtection="1">
      <alignment horizontal="center" vertical="center"/>
    </xf>
    <xf numFmtId="0" fontId="57" fillId="0" borderId="2" xfId="0"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locked="0"/>
    </xf>
    <xf numFmtId="9" fontId="57" fillId="0" borderId="2" xfId="0" applyNumberFormat="1" applyFont="1" applyBorder="1" applyAlignment="1" applyProtection="1">
      <alignment horizontal="center" vertical="center"/>
      <protection hidden="1"/>
    </xf>
    <xf numFmtId="165" fontId="57" fillId="0" borderId="2" xfId="1" applyNumberFormat="1" applyFont="1" applyBorder="1" applyAlignment="1">
      <alignment horizontal="center" vertical="center"/>
    </xf>
    <xf numFmtId="0" fontId="44" fillId="0" borderId="2" xfId="0" applyFont="1" applyFill="1" applyBorder="1" applyAlignment="1" applyProtection="1">
      <alignment horizontal="center" vertical="center" textRotation="90" wrapText="1"/>
      <protection hidden="1"/>
    </xf>
    <xf numFmtId="9" fontId="57" fillId="0" borderId="4" xfId="0" applyNumberFormat="1" applyFont="1" applyBorder="1" applyAlignment="1" applyProtection="1">
      <alignment horizontal="center" vertical="center"/>
      <protection hidden="1"/>
    </xf>
    <xf numFmtId="0" fontId="44" fillId="0" borderId="2" xfId="0" applyFont="1" applyBorder="1" applyAlignment="1" applyProtection="1">
      <alignment horizontal="center" vertical="center" textRotation="90"/>
      <protection hidden="1"/>
    </xf>
    <xf numFmtId="0" fontId="57" fillId="3" borderId="0" xfId="0" applyFont="1" applyFill="1" applyAlignment="1">
      <alignment vertical="center"/>
    </xf>
    <xf numFmtId="0" fontId="57" fillId="0" borderId="0" xfId="0" applyFont="1" applyAlignment="1">
      <alignment vertical="center"/>
    </xf>
    <xf numFmtId="0" fontId="57" fillId="3" borderId="0" xfId="0" applyFont="1" applyFill="1"/>
    <xf numFmtId="0" fontId="57" fillId="0" borderId="0" xfId="0" applyFont="1"/>
    <xf numFmtId="0" fontId="58" fillId="0" borderId="71" xfId="0" applyFont="1" applyBorder="1" applyAlignment="1">
      <alignment horizontal="left" vertical="center" wrapText="1"/>
    </xf>
    <xf numFmtId="0" fontId="1" fillId="3" borderId="0" xfId="0" applyFont="1" applyFill="1" applyBorder="1"/>
    <xf numFmtId="0" fontId="0" fillId="0" borderId="29" xfId="0" applyBorder="1" applyProtection="1">
      <protection locked="0"/>
    </xf>
    <xf numFmtId="0" fontId="53" fillId="3" borderId="0" xfId="0" applyFont="1" applyFill="1" applyBorder="1" applyAlignment="1" applyProtection="1">
      <alignment horizontal="justify" vertical="center" wrapText="1"/>
    </xf>
    <xf numFmtId="0" fontId="58" fillId="0" borderId="66" xfId="0" applyFont="1" applyBorder="1" applyAlignment="1">
      <alignment horizontal="left" vertical="center" wrapText="1"/>
    </xf>
    <xf numFmtId="0" fontId="58" fillId="0" borderId="73" xfId="0" applyFont="1" applyBorder="1" applyAlignment="1">
      <alignment horizontal="left" vertical="center" wrapText="1"/>
    </xf>
    <xf numFmtId="0" fontId="58" fillId="0" borderId="72" xfId="0" applyFont="1" applyBorder="1" applyAlignment="1">
      <alignment horizontal="left" vertical="center" wrapText="1"/>
    </xf>
    <xf numFmtId="0" fontId="62" fillId="16" borderId="2" xfId="0" applyFont="1" applyFill="1" applyBorder="1" applyAlignment="1">
      <alignment horizontal="center" vertical="center"/>
    </xf>
    <xf numFmtId="0" fontId="33" fillId="3" borderId="0" xfId="0" applyFont="1" applyFill="1" applyProtection="1">
      <protection locked="0"/>
    </xf>
    <xf numFmtId="0" fontId="33" fillId="0" borderId="0" xfId="0" applyFont="1" applyProtection="1">
      <protection locked="0"/>
    </xf>
    <xf numFmtId="0" fontId="63" fillId="16" borderId="6" xfId="0" applyFont="1" applyFill="1" applyBorder="1" applyAlignment="1" applyProtection="1">
      <alignment vertical="center"/>
      <protection locked="0"/>
    </xf>
    <xf numFmtId="0" fontId="63" fillId="16" borderId="10" xfId="0" applyFont="1" applyFill="1" applyBorder="1" applyAlignment="1" applyProtection="1">
      <alignment vertical="center"/>
      <protection locked="0"/>
    </xf>
    <xf numFmtId="0" fontId="58" fillId="0" borderId="74" xfId="0" applyFont="1" applyFill="1" applyBorder="1" applyAlignment="1">
      <alignment horizontal="left" vertical="center" wrapText="1"/>
    </xf>
    <xf numFmtId="0" fontId="1" fillId="3" borderId="0" xfId="0" applyFont="1" applyFill="1" applyBorder="1" applyAlignment="1">
      <alignment wrapText="1"/>
    </xf>
    <xf numFmtId="0" fontId="33" fillId="3" borderId="0" xfId="0" applyFont="1" applyFill="1" applyAlignment="1">
      <alignment wrapText="1"/>
    </xf>
    <xf numFmtId="0" fontId="33" fillId="3" borderId="0" xfId="0" applyFont="1" applyFill="1" applyAlignment="1" applyProtection="1">
      <alignment wrapText="1"/>
      <protection locked="0"/>
    </xf>
    <xf numFmtId="0" fontId="61" fillId="16" borderId="28" xfId="0" applyFont="1" applyFill="1" applyBorder="1" applyAlignment="1">
      <alignment horizontal="center" vertical="center" wrapText="1"/>
    </xf>
    <xf numFmtId="0" fontId="57" fillId="0" borderId="2" xfId="0" applyFont="1" applyBorder="1" applyAlignment="1" applyProtection="1">
      <alignment horizontal="center" vertical="center" wrapText="1"/>
      <protection locked="0"/>
    </xf>
    <xf numFmtId="14" fontId="57" fillId="0" borderId="2" xfId="0" applyNumberFormat="1" applyFont="1" applyBorder="1" applyAlignment="1" applyProtection="1">
      <alignment horizontal="center" vertical="center" wrapText="1"/>
      <protection locked="0"/>
    </xf>
    <xf numFmtId="0" fontId="1" fillId="0" borderId="0" xfId="0" applyFont="1" applyAlignment="1">
      <alignment wrapText="1"/>
    </xf>
    <xf numFmtId="0" fontId="44" fillId="3" borderId="1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2" xfId="0" applyFont="1" applyBorder="1" applyAlignment="1" applyProtection="1">
      <alignment horizontal="center" vertical="center"/>
      <protection locked="0"/>
    </xf>
    <xf numFmtId="14" fontId="57" fillId="0" borderId="2" xfId="0" applyNumberFormat="1" applyFont="1" applyBorder="1" applyAlignment="1" applyProtection="1">
      <alignment horizontal="center" vertical="center"/>
      <protection locked="0"/>
    </xf>
    <xf numFmtId="0" fontId="65" fillId="0" borderId="4" xfId="0" applyFont="1" applyBorder="1" applyAlignment="1" applyProtection="1">
      <alignment vertical="justify" wrapText="1"/>
      <protection locked="0"/>
    </xf>
    <xf numFmtId="0" fontId="33" fillId="0" borderId="4" xfId="0" applyFont="1" applyBorder="1" applyAlignment="1" applyProtection="1">
      <alignment horizontal="left" vertical="center" wrapText="1"/>
      <protection locked="0"/>
    </xf>
    <xf numFmtId="0" fontId="57" fillId="0" borderId="2" xfId="0" applyFont="1" applyBorder="1" applyAlignment="1" applyProtection="1">
      <alignment horizontal="justify" vertical="center" wrapText="1"/>
      <protection locked="0"/>
    </xf>
    <xf numFmtId="0" fontId="57" fillId="0" borderId="4" xfId="0" applyFont="1" applyBorder="1" applyAlignment="1" applyProtection="1">
      <alignment horizontal="center" vertical="center" wrapText="1"/>
      <protection locked="0"/>
    </xf>
    <xf numFmtId="0" fontId="57" fillId="0" borderId="2" xfId="0" applyFont="1" applyBorder="1" applyAlignment="1" applyProtection="1">
      <alignment horizontal="justify" vertical="center" wrapText="1"/>
      <protection locked="0"/>
    </xf>
    <xf numFmtId="0" fontId="57" fillId="0" borderId="2" xfId="0" applyFont="1" applyBorder="1" applyAlignment="1" applyProtection="1">
      <alignment horizontal="center" vertical="center" textRotation="90"/>
      <protection locked="0"/>
    </xf>
    <xf numFmtId="0" fontId="57" fillId="0" borderId="2" xfId="0" applyFont="1" applyBorder="1" applyAlignment="1" applyProtection="1">
      <alignment horizontal="center" vertical="center"/>
      <protection locked="0"/>
    </xf>
    <xf numFmtId="14" fontId="57" fillId="0" borderId="2" xfId="0" applyNumberFormat="1"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57" fillId="0" borderId="2" xfId="0" applyFont="1" applyBorder="1" applyAlignment="1" applyProtection="1">
      <alignment horizontal="center" vertical="center" wrapText="1"/>
      <protection locked="0"/>
    </xf>
    <xf numFmtId="14" fontId="57" fillId="0" borderId="2" xfId="0" applyNumberFormat="1" applyFont="1" applyBorder="1" applyAlignment="1" applyProtection="1">
      <alignment horizontal="center" vertical="center" wrapText="1"/>
      <protection locked="0"/>
    </xf>
    <xf numFmtId="0" fontId="57" fillId="0" borderId="4" xfId="0" applyFont="1" applyBorder="1" applyAlignment="1" applyProtection="1">
      <alignment horizontal="center" vertical="center" wrapText="1"/>
      <protection locked="0"/>
    </xf>
    <xf numFmtId="0" fontId="57" fillId="0" borderId="2" xfId="0" applyFont="1" applyBorder="1" applyAlignment="1" applyProtection="1">
      <alignment horizontal="justify" vertical="center" wrapText="1"/>
      <protection locked="0"/>
    </xf>
    <xf numFmtId="0" fontId="57" fillId="0" borderId="2" xfId="0" applyFont="1" applyBorder="1" applyAlignment="1" applyProtection="1">
      <alignment horizontal="justify" vertical="center"/>
      <protection locked="0"/>
    </xf>
    <xf numFmtId="0" fontId="57"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75"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3"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textRotation="90"/>
      <protection locked="0"/>
    </xf>
    <xf numFmtId="0" fontId="67" fillId="0" borderId="77" xfId="0" applyFont="1" applyBorder="1" applyAlignment="1">
      <alignment horizontal="center" vertical="center"/>
    </xf>
    <xf numFmtId="0" fontId="67" fillId="0" borderId="77" xfId="0" applyFont="1" applyBorder="1" applyAlignment="1">
      <alignment horizontal="left" vertical="center" wrapText="1"/>
    </xf>
    <xf numFmtId="0" fontId="67" fillId="0" borderId="77" xfId="0" applyFont="1" applyBorder="1" applyAlignment="1">
      <alignment horizontal="center" vertical="center" textRotation="90"/>
    </xf>
    <xf numFmtId="9" fontId="67" fillId="0" borderId="77" xfId="0" applyNumberFormat="1" applyFont="1" applyBorder="1" applyAlignment="1">
      <alignment horizontal="center" vertical="center"/>
    </xf>
    <xf numFmtId="165" fontId="67" fillId="0" borderId="77" xfId="0" applyNumberFormat="1" applyFont="1" applyBorder="1" applyAlignment="1">
      <alignment horizontal="center" vertical="center"/>
    </xf>
    <xf numFmtId="0" fontId="68" fillId="0" borderId="77" xfId="0" applyFont="1" applyBorder="1" applyAlignment="1">
      <alignment horizontal="center" vertical="center" textRotation="90" wrapText="1"/>
    </xf>
    <xf numFmtId="9" fontId="67" fillId="0" borderId="76" xfId="0" applyNumberFormat="1" applyFont="1" applyBorder="1" applyAlignment="1">
      <alignment horizontal="center" vertical="center"/>
    </xf>
    <xf numFmtId="0" fontId="68" fillId="0" borderId="77" xfId="0" applyFont="1" applyBorder="1" applyAlignment="1">
      <alignment horizontal="center" vertical="center" textRotation="90"/>
    </xf>
    <xf numFmtId="0" fontId="67" fillId="0" borderId="76" xfId="0" applyFont="1" applyBorder="1" applyAlignment="1">
      <alignment horizontal="center" vertical="center"/>
    </xf>
    <xf numFmtId="0" fontId="57" fillId="0" borderId="76" xfId="0" applyFont="1" applyBorder="1" applyAlignment="1">
      <alignment horizontal="center" vertical="center" wrapText="1"/>
    </xf>
    <xf numFmtId="0" fontId="67" fillId="0" borderId="77" xfId="0" applyFont="1" applyBorder="1" applyAlignment="1">
      <alignment horizontal="center" vertical="center" wrapText="1"/>
    </xf>
    <xf numFmtId="0" fontId="57" fillId="0" borderId="77" xfId="0" applyFont="1" applyBorder="1" applyAlignment="1">
      <alignment horizontal="center" vertical="center" wrapText="1"/>
    </xf>
    <xf numFmtId="166" fontId="67" fillId="0" borderId="77" xfId="0" applyNumberFormat="1" applyFont="1" applyBorder="1" applyAlignment="1">
      <alignment horizontal="center" vertical="center" wrapText="1"/>
    </xf>
    <xf numFmtId="0" fontId="67" fillId="0" borderId="76" xfId="0" applyFont="1" applyBorder="1" applyAlignment="1">
      <alignment horizontal="center" vertical="center" wrapText="1"/>
    </xf>
    <xf numFmtId="0" fontId="70" fillId="0" borderId="76" xfId="0" applyFont="1" applyBorder="1" applyAlignment="1" applyProtection="1">
      <alignment horizontal="left" vertical="center" wrapText="1"/>
      <protection locked="0"/>
    </xf>
    <xf numFmtId="0" fontId="70" fillId="0" borderId="77" xfId="0" applyFont="1" applyBorder="1" applyAlignment="1" applyProtection="1">
      <alignment horizontal="center" vertical="center"/>
      <protection locked="0"/>
    </xf>
    <xf numFmtId="14" fontId="70" fillId="0" borderId="77" xfId="0" applyNumberFormat="1" applyFont="1" applyBorder="1" applyAlignment="1" applyProtection="1">
      <alignment horizontal="center" vertical="center"/>
      <protection locked="0"/>
    </xf>
    <xf numFmtId="0" fontId="57" fillId="0" borderId="0" xfId="0" applyFont="1" applyProtection="1">
      <protection locked="0"/>
    </xf>
    <xf numFmtId="0" fontId="57" fillId="0" borderId="4" xfId="0" applyFont="1" applyBorder="1" applyAlignment="1" applyProtection="1">
      <alignment horizontal="center" wrapText="1"/>
      <protection locked="0"/>
    </xf>
    <xf numFmtId="0" fontId="57" fillId="0" borderId="0" xfId="0" applyFont="1" applyAlignment="1" applyProtection="1">
      <alignment wrapText="1"/>
      <protection locked="0"/>
    </xf>
    <xf numFmtId="0" fontId="53" fillId="0" borderId="29" xfId="0" applyFont="1" applyBorder="1" applyAlignment="1" applyProtection="1">
      <alignment horizontal="center" vertical="center" wrapText="1"/>
      <protection locked="0"/>
    </xf>
    <xf numFmtId="0" fontId="53" fillId="3" borderId="29" xfId="0" applyFont="1" applyFill="1" applyBorder="1" applyAlignment="1" applyProtection="1">
      <alignment horizontal="center" vertical="center" wrapText="1"/>
      <protection locked="0"/>
    </xf>
    <xf numFmtId="14" fontId="53" fillId="3" borderId="29" xfId="0" applyNumberFormat="1" applyFont="1" applyFill="1" applyBorder="1" applyAlignment="1" applyProtection="1">
      <alignment horizontal="center" vertical="center"/>
      <protection locked="0"/>
    </xf>
    <xf numFmtId="10" fontId="57"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71" fillId="0" borderId="2" xfId="0" applyFont="1" applyBorder="1" applyAlignment="1" applyProtection="1">
      <alignment horizontal="center" vertical="center" wrapText="1"/>
      <protection locked="0"/>
    </xf>
    <xf numFmtId="0" fontId="71" fillId="0" borderId="4" xfId="0" applyFont="1" applyBorder="1" applyAlignment="1" applyProtection="1">
      <alignment horizontal="center" vertical="center" wrapText="1"/>
      <protection locked="0"/>
    </xf>
    <xf numFmtId="0" fontId="57" fillId="3" borderId="2" xfId="0" applyFont="1" applyFill="1" applyBorder="1" applyAlignment="1" applyProtection="1">
      <alignment horizontal="justify" vertical="center" wrapText="1"/>
      <protection locked="0"/>
    </xf>
    <xf numFmtId="0" fontId="53" fillId="3" borderId="2" xfId="0" applyFont="1" applyFill="1" applyBorder="1" applyAlignment="1" applyProtection="1">
      <alignment horizontal="justify" vertical="center"/>
      <protection locked="0"/>
    </xf>
    <xf numFmtId="0" fontId="53" fillId="0" borderId="2" xfId="0" applyFont="1" applyBorder="1" applyAlignment="1" applyProtection="1">
      <alignment horizontal="justify" vertical="center" wrapText="1"/>
      <protection locked="0"/>
    </xf>
    <xf numFmtId="14" fontId="53" fillId="0" borderId="2" xfId="0" applyNumberFormat="1" applyFont="1" applyBorder="1" applyAlignment="1" applyProtection="1">
      <alignment horizontal="center" vertical="center"/>
      <protection locked="0"/>
    </xf>
    <xf numFmtId="0" fontId="53" fillId="0" borderId="2" xfId="0" applyFont="1" applyBorder="1" applyAlignment="1" applyProtection="1">
      <alignment horizontal="justify" vertical="center"/>
      <protection locked="0"/>
    </xf>
    <xf numFmtId="0" fontId="57" fillId="3" borderId="4" xfId="0" applyFont="1" applyFill="1" applyBorder="1" applyAlignment="1" applyProtection="1">
      <alignment horizontal="justify" vertical="center" wrapText="1"/>
      <protection locked="0"/>
    </xf>
    <xf numFmtId="0" fontId="57" fillId="0" borderId="4" xfId="0" applyFont="1" applyBorder="1" applyAlignment="1" applyProtection="1">
      <alignment horizontal="justify" vertical="center" wrapText="1"/>
      <protection locked="0"/>
    </xf>
    <xf numFmtId="0" fontId="57" fillId="0" borderId="2" xfId="0" applyFont="1" applyBorder="1" applyAlignment="1" applyProtection="1">
      <alignment horizontal="justify" vertical="center" wrapText="1"/>
      <protection locked="0"/>
    </xf>
    <xf numFmtId="0" fontId="57" fillId="0" borderId="2" xfId="0" applyFont="1" applyBorder="1" applyAlignment="1" applyProtection="1">
      <alignment horizontal="justify" vertical="center"/>
      <protection locked="0"/>
    </xf>
    <xf numFmtId="0" fontId="57" fillId="0" borderId="2" xfId="0" applyFont="1" applyBorder="1" applyAlignment="1" applyProtection="1">
      <alignment horizontal="center" vertical="center"/>
    </xf>
    <xf numFmtId="0" fontId="57" fillId="0" borderId="2" xfId="0"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locked="0"/>
    </xf>
    <xf numFmtId="9" fontId="57" fillId="0" borderId="2" xfId="0" applyNumberFormat="1" applyFont="1" applyBorder="1" applyAlignment="1" applyProtection="1">
      <alignment horizontal="center" vertical="center"/>
      <protection hidden="1"/>
    </xf>
    <xf numFmtId="165" fontId="57" fillId="0" borderId="2" xfId="1" applyNumberFormat="1" applyFont="1" applyBorder="1" applyAlignment="1">
      <alignment horizontal="center" vertical="center"/>
    </xf>
    <xf numFmtId="0" fontId="44" fillId="0" borderId="2" xfId="0" applyFont="1" applyFill="1" applyBorder="1" applyAlignment="1" applyProtection="1">
      <alignment horizontal="center" vertical="center" textRotation="90" wrapText="1"/>
      <protection hidden="1"/>
    </xf>
    <xf numFmtId="9" fontId="57" fillId="0" borderId="4" xfId="0" applyNumberFormat="1" applyFont="1" applyBorder="1" applyAlignment="1" applyProtection="1">
      <alignment horizontal="center" vertical="center"/>
      <protection hidden="1"/>
    </xf>
    <xf numFmtId="0" fontId="44" fillId="0" borderId="2" xfId="0" applyFont="1" applyBorder="1" applyAlignment="1" applyProtection="1">
      <alignment horizontal="center" vertical="center" textRotation="90"/>
      <protection hidden="1"/>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57" fillId="0" borderId="2" xfId="0" applyFont="1" applyBorder="1" applyAlignment="1" applyProtection="1">
      <alignment horizontal="center" vertical="center" wrapText="1"/>
      <protection locked="0"/>
    </xf>
    <xf numFmtId="14" fontId="57" fillId="0" borderId="2" xfId="0" applyNumberFormat="1" applyFont="1" applyBorder="1" applyAlignment="1" applyProtection="1">
      <alignment horizontal="center" vertical="center" wrapText="1"/>
      <protection locked="0"/>
    </xf>
    <xf numFmtId="0" fontId="57" fillId="0" borderId="0" xfId="0" applyFont="1" applyProtection="1">
      <protection locked="0"/>
    </xf>
    <xf numFmtId="0" fontId="57" fillId="0" borderId="4" xfId="0" applyFont="1" applyBorder="1" applyAlignment="1" applyProtection="1">
      <alignment horizontal="left" vertical="center" wrapText="1"/>
      <protection locked="0"/>
    </xf>
    <xf numFmtId="0" fontId="53" fillId="0" borderId="4" xfId="0" applyFont="1" applyBorder="1" applyAlignment="1" applyProtection="1">
      <alignment horizontal="center" vertical="center" wrapText="1"/>
      <protection locked="0"/>
    </xf>
    <xf numFmtId="0" fontId="75" fillId="0" borderId="90" xfId="0" applyFont="1" applyBorder="1" applyAlignment="1">
      <alignment horizontal="center" vertical="center"/>
    </xf>
    <xf numFmtId="0" fontId="76" fillId="17" borderId="90" xfId="0" applyFont="1" applyFill="1" applyBorder="1" applyAlignment="1">
      <alignment horizontal="left" vertical="center" wrapText="1"/>
    </xf>
    <xf numFmtId="0" fontId="75" fillId="0" borderId="90" xfId="0" applyFont="1" applyBorder="1" applyAlignment="1">
      <alignment horizontal="center" vertical="center" textRotation="90"/>
    </xf>
    <xf numFmtId="9" fontId="75" fillId="0" borderId="90" xfId="0" applyNumberFormat="1" applyFont="1" applyBorder="1" applyAlignment="1">
      <alignment horizontal="center" vertical="center"/>
    </xf>
    <xf numFmtId="165" fontId="75" fillId="0" borderId="90" xfId="0" applyNumberFormat="1" applyFont="1" applyBorder="1" applyAlignment="1">
      <alignment horizontal="center" vertical="center"/>
    </xf>
    <xf numFmtId="0" fontId="76" fillId="0" borderId="90" xfId="0" applyFont="1" applyBorder="1" applyAlignment="1">
      <alignment horizontal="center" vertical="center" textRotation="90" wrapText="1"/>
    </xf>
    <xf numFmtId="9" fontId="75" fillId="0" borderId="89" xfId="0" applyNumberFormat="1" applyFont="1" applyBorder="1" applyAlignment="1">
      <alignment horizontal="center" vertical="center"/>
    </xf>
    <xf numFmtId="0" fontId="76" fillId="0" borderId="90" xfId="0" applyFont="1" applyBorder="1" applyAlignment="1">
      <alignment horizontal="center" vertical="center" textRotation="90"/>
    </xf>
    <xf numFmtId="0" fontId="75" fillId="0" borderId="89" xfId="0" applyFont="1" applyBorder="1" applyAlignment="1">
      <alignment horizontal="center" vertical="center"/>
    </xf>
    <xf numFmtId="0" fontId="75" fillId="17" borderId="89" xfId="0" applyFont="1" applyFill="1" applyBorder="1" applyAlignment="1">
      <alignment horizontal="center" vertical="center" wrapText="1"/>
    </xf>
    <xf numFmtId="0" fontId="75" fillId="17" borderId="90" xfId="0" applyFont="1" applyFill="1" applyBorder="1" applyAlignment="1">
      <alignment horizontal="center" vertical="center" wrapText="1"/>
    </xf>
    <xf numFmtId="14" fontId="75" fillId="17" borderId="90" xfId="0" applyNumberFormat="1" applyFont="1" applyFill="1" applyBorder="1" applyAlignment="1">
      <alignment horizontal="center" vertical="center" wrapText="1"/>
    </xf>
    <xf numFmtId="0" fontId="75" fillId="0" borderId="90" xfId="0" applyFont="1" applyBorder="1" applyAlignment="1">
      <alignment horizontal="left" vertical="center"/>
    </xf>
    <xf numFmtId="0" fontId="75" fillId="0" borderId="89" xfId="0" applyFont="1" applyBorder="1" applyAlignment="1">
      <alignment horizontal="center" vertical="center" wrapText="1"/>
    </xf>
    <xf numFmtId="0" fontId="75" fillId="0" borderId="90" xfId="0" applyFont="1" applyBorder="1" applyAlignment="1">
      <alignment horizontal="center" vertical="center" wrapText="1"/>
    </xf>
    <xf numFmtId="14" fontId="75" fillId="0" borderId="90" xfId="0" applyNumberFormat="1" applyFont="1" applyBorder="1" applyAlignment="1">
      <alignment horizontal="center" vertical="center" wrapText="1"/>
    </xf>
    <xf numFmtId="0" fontId="75" fillId="0" borderId="90" xfId="0" applyFont="1" applyBorder="1" applyAlignment="1">
      <alignment horizontal="left" vertical="center" wrapText="1"/>
    </xf>
    <xf numFmtId="0" fontId="76" fillId="0" borderId="90" xfId="0" applyFont="1" applyBorder="1" applyAlignment="1">
      <alignment horizontal="left" vertical="center" wrapText="1"/>
    </xf>
    <xf numFmtId="0" fontId="75" fillId="17" borderId="90" xfId="0" applyFont="1" applyFill="1" applyBorder="1" applyAlignment="1">
      <alignment horizontal="center" vertical="center" textRotation="90"/>
    </xf>
    <xf numFmtId="0" fontId="75" fillId="17" borderId="90" xfId="0" applyFont="1" applyFill="1" applyBorder="1" applyAlignment="1">
      <alignment horizontal="left" vertical="center" wrapText="1"/>
    </xf>
    <xf numFmtId="0" fontId="53" fillId="0" borderId="2" xfId="0" applyFont="1" applyFill="1" applyBorder="1" applyAlignment="1" applyProtection="1">
      <alignment horizontal="justify" vertical="center" wrapText="1"/>
      <protection locked="0"/>
    </xf>
    <xf numFmtId="0" fontId="53" fillId="0" borderId="2" xfId="0" applyFont="1" applyFill="1" applyBorder="1" applyAlignment="1" applyProtection="1">
      <alignment horizontal="justify" vertical="center"/>
      <protection locked="0"/>
    </xf>
    <xf numFmtId="0" fontId="44" fillId="0" borderId="8" xfId="0" applyFont="1" applyBorder="1" applyAlignment="1" applyProtection="1">
      <alignment vertical="center"/>
    </xf>
    <xf numFmtId="0" fontId="44" fillId="0" borderId="4" xfId="0" applyFont="1" applyBorder="1" applyAlignment="1" applyProtection="1">
      <alignment vertical="center"/>
    </xf>
    <xf numFmtId="0" fontId="0" fillId="0" borderId="93"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93" xfId="0" applyBorder="1" applyAlignment="1" applyProtection="1">
      <alignment horizontal="justify" wrapText="1"/>
      <protection locked="0"/>
    </xf>
    <xf numFmtId="0" fontId="0" fillId="0" borderId="29" xfId="0" applyBorder="1" applyAlignment="1" applyProtection="1">
      <alignment horizontal="justify" vertical="top" wrapText="1"/>
      <protection locked="0"/>
    </xf>
    <xf numFmtId="0" fontId="0" fillId="0" borderId="29" xfId="0" applyBorder="1" applyAlignment="1" applyProtection="1">
      <alignment horizontal="justify" vertical="center" wrapText="1"/>
      <protection locked="0"/>
    </xf>
    <xf numFmtId="0" fontId="71" fillId="0" borderId="2" xfId="0" applyFont="1" applyBorder="1" applyAlignment="1" applyProtection="1">
      <alignment horizontal="justify" vertical="center" wrapText="1"/>
      <protection locked="0"/>
    </xf>
    <xf numFmtId="0" fontId="71" fillId="3" borderId="2" xfId="0" applyFont="1" applyFill="1" applyBorder="1" applyAlignment="1" applyProtection="1">
      <alignment horizontal="justify" vertical="center" wrapText="1"/>
      <protection locked="0"/>
    </xf>
    <xf numFmtId="0" fontId="0" fillId="3" borderId="29" xfId="0" applyFill="1" applyBorder="1" applyAlignment="1" applyProtection="1">
      <alignment vertical="center" wrapText="1"/>
      <protection locked="0"/>
    </xf>
    <xf numFmtId="0" fontId="0" fillId="0" borderId="94" xfId="0" applyBorder="1" applyAlignment="1" applyProtection="1">
      <alignment vertical="center" wrapText="1"/>
      <protection locked="0"/>
    </xf>
    <xf numFmtId="0" fontId="64" fillId="16" borderId="4" xfId="0" applyFont="1" applyFill="1" applyBorder="1" applyAlignment="1">
      <alignment vertical="center" textRotation="90"/>
    </xf>
    <xf numFmtId="0" fontId="62" fillId="16" borderId="2" xfId="0" applyFont="1" applyFill="1" applyBorder="1" applyAlignment="1">
      <alignment vertical="center"/>
    </xf>
    <xf numFmtId="0" fontId="62" fillId="16" borderId="4" xfId="0" applyFont="1" applyFill="1" applyBorder="1" applyAlignment="1">
      <alignment vertical="center" wrapText="1"/>
    </xf>
    <xf numFmtId="0" fontId="57" fillId="0" borderId="4" xfId="0" applyFont="1" applyBorder="1" applyAlignment="1" applyProtection="1">
      <alignment vertical="center" wrapText="1"/>
      <protection locked="0"/>
    </xf>
    <xf numFmtId="0" fontId="57" fillId="0" borderId="4" xfId="0" applyFont="1" applyBorder="1" applyAlignment="1" applyProtection="1">
      <alignment vertical="center"/>
      <protection locked="0"/>
    </xf>
    <xf numFmtId="0" fontId="67" fillId="0" borderId="76" xfId="0" applyFont="1" applyBorder="1" applyAlignment="1">
      <alignment vertical="center" wrapText="1"/>
    </xf>
    <xf numFmtId="0" fontId="67" fillId="0" borderId="76" xfId="0" applyFont="1" applyBorder="1" applyAlignment="1">
      <alignment vertical="center"/>
    </xf>
    <xf numFmtId="0" fontId="75" fillId="0" borderId="89" xfId="0" applyFont="1" applyBorder="1" applyAlignment="1">
      <alignment vertical="center" wrapText="1"/>
    </xf>
    <xf numFmtId="0" fontId="57"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83" fillId="0" borderId="4" xfId="0" applyFont="1" applyBorder="1" applyAlignment="1" applyProtection="1">
      <alignment vertical="center" wrapText="1"/>
      <protection locked="0"/>
    </xf>
    <xf numFmtId="0" fontId="67" fillId="0" borderId="4" xfId="0" applyFont="1" applyBorder="1" applyAlignment="1">
      <alignment vertical="center"/>
    </xf>
    <xf numFmtId="0" fontId="57" fillId="0" borderId="76" xfId="0" applyFont="1" applyBorder="1" applyAlignment="1" applyProtection="1">
      <alignment vertical="center"/>
      <protection locked="0"/>
    </xf>
    <xf numFmtId="0" fontId="44" fillId="0" borderId="5" xfId="0" applyFont="1" applyBorder="1" applyAlignment="1" applyProtection="1">
      <alignment vertical="center"/>
    </xf>
    <xf numFmtId="0" fontId="57" fillId="0" borderId="4"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2" xfId="0"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0" fontId="57" fillId="0" borderId="95" xfId="0" applyFont="1" applyBorder="1" applyAlignment="1" applyProtection="1">
      <alignment horizontal="center" vertical="center" wrapText="1"/>
      <protection locked="0"/>
    </xf>
    <xf numFmtId="0" fontId="84" fillId="0" borderId="96" xfId="0" applyFont="1" applyBorder="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57" fillId="0" borderId="7"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locked="0"/>
    </xf>
    <xf numFmtId="0" fontId="48" fillId="14" borderId="44" xfId="2" applyFont="1" applyFill="1" applyBorder="1" applyAlignment="1" applyProtection="1">
      <alignment horizontal="center" vertical="center" wrapText="1"/>
    </xf>
    <xf numFmtId="0" fontId="48" fillId="14" borderId="45" xfId="2" applyFont="1" applyFill="1" applyBorder="1" applyAlignment="1" applyProtection="1">
      <alignment horizontal="center" vertical="center" wrapText="1"/>
    </xf>
    <xf numFmtId="0" fontId="48" fillId="14" borderId="46" xfId="2" applyFont="1" applyFill="1" applyBorder="1" applyAlignment="1" applyProtection="1">
      <alignment horizontal="center" vertical="center" wrapText="1"/>
    </xf>
    <xf numFmtId="0" fontId="47" fillId="0" borderId="14" xfId="2" quotePrefix="1" applyFont="1" applyBorder="1" applyAlignment="1" applyProtection="1">
      <alignment horizontal="left" vertical="center" wrapText="1"/>
    </xf>
    <xf numFmtId="0" fontId="47" fillId="0" borderId="0" xfId="2" quotePrefix="1" applyFont="1" applyBorder="1" applyAlignment="1" applyProtection="1">
      <alignment horizontal="left" vertical="center" wrapText="1"/>
    </xf>
    <xf numFmtId="0" fontId="47" fillId="0" borderId="15" xfId="2" quotePrefix="1" applyFont="1" applyBorder="1" applyAlignment="1" applyProtection="1">
      <alignment horizontal="left" vertical="center" wrapText="1"/>
    </xf>
    <xf numFmtId="0" fontId="47" fillId="0" borderId="64" xfId="2" quotePrefix="1" applyFont="1" applyBorder="1" applyAlignment="1" applyProtection="1">
      <alignment horizontal="left" vertical="center" wrapText="1"/>
    </xf>
    <xf numFmtId="0" fontId="47" fillId="0" borderId="65" xfId="2" quotePrefix="1" applyFont="1" applyBorder="1" applyAlignment="1" applyProtection="1">
      <alignment horizontal="left" vertical="center" wrapText="1"/>
    </xf>
    <xf numFmtId="0" fontId="47" fillId="0" borderId="66" xfId="2" quotePrefix="1" applyFont="1" applyBorder="1" applyAlignment="1" applyProtection="1">
      <alignment horizontal="left" vertical="center" wrapText="1"/>
    </xf>
    <xf numFmtId="0" fontId="49" fillId="3" borderId="47" xfId="2" quotePrefix="1" applyFont="1" applyFill="1" applyBorder="1" applyAlignment="1" applyProtection="1">
      <alignment horizontal="left" vertical="top" wrapText="1"/>
    </xf>
    <xf numFmtId="0" fontId="50" fillId="3" borderId="48" xfId="2" quotePrefix="1" applyFont="1" applyFill="1" applyBorder="1" applyAlignment="1" applyProtection="1">
      <alignment horizontal="left" vertical="top" wrapText="1"/>
    </xf>
    <xf numFmtId="0" fontId="50" fillId="3" borderId="49" xfId="2" quotePrefix="1" applyFont="1" applyFill="1" applyBorder="1" applyAlignment="1" applyProtection="1">
      <alignment horizontal="left" vertical="top" wrapText="1"/>
    </xf>
    <xf numFmtId="0" fontId="47" fillId="0" borderId="14" xfId="2" quotePrefix="1" applyFont="1" applyBorder="1" applyAlignment="1" applyProtection="1">
      <alignment horizontal="left" vertical="top" wrapText="1"/>
    </xf>
    <xf numFmtId="0" fontId="47" fillId="0" borderId="0" xfId="2" quotePrefix="1" applyFont="1" applyBorder="1" applyAlignment="1" applyProtection="1">
      <alignment horizontal="left" vertical="top" wrapText="1"/>
    </xf>
    <xf numFmtId="0" fontId="47" fillId="0" borderId="15" xfId="2" quotePrefix="1" applyFont="1" applyBorder="1" applyAlignment="1" applyProtection="1">
      <alignment horizontal="left" vertical="top" wrapText="1"/>
    </xf>
    <xf numFmtId="0" fontId="52" fillId="14" borderId="50" xfId="3" applyFont="1" applyFill="1" applyBorder="1" applyAlignment="1" applyProtection="1">
      <alignment horizontal="center" vertical="center" wrapText="1"/>
    </xf>
    <xf numFmtId="0" fontId="52" fillId="14" borderId="51" xfId="3" applyFont="1" applyFill="1" applyBorder="1" applyAlignment="1" applyProtection="1">
      <alignment horizontal="center" vertical="center" wrapText="1"/>
    </xf>
    <xf numFmtId="0" fontId="52" fillId="14" borderId="52" xfId="2" applyFont="1" applyFill="1" applyBorder="1" applyAlignment="1" applyProtection="1">
      <alignment horizontal="center" vertical="center"/>
    </xf>
    <xf numFmtId="0" fontId="52" fillId="14" borderId="53" xfId="2" applyFont="1" applyFill="1" applyBorder="1" applyAlignment="1" applyProtection="1">
      <alignment horizontal="center" vertical="center"/>
    </xf>
    <xf numFmtId="0" fontId="2" fillId="3" borderId="64" xfId="2" quotePrefix="1" applyFont="1" applyFill="1" applyBorder="1" applyAlignment="1" applyProtection="1">
      <alignment horizontal="justify" vertical="center" wrapText="1"/>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52" fillId="3" borderId="54" xfId="3" applyFont="1" applyFill="1" applyBorder="1" applyAlignment="1" applyProtection="1">
      <alignment horizontal="left" vertical="top" wrapText="1" readingOrder="1"/>
    </xf>
    <xf numFmtId="0" fontId="52" fillId="3" borderId="55" xfId="3" applyFont="1" applyFill="1" applyBorder="1" applyAlignment="1" applyProtection="1">
      <alignment horizontal="left" vertical="top" wrapText="1" readingOrder="1"/>
    </xf>
    <xf numFmtId="0" fontId="53" fillId="3" borderId="56" xfId="2" applyFont="1" applyFill="1" applyBorder="1" applyAlignment="1" applyProtection="1">
      <alignment horizontal="justify" vertical="center" wrapText="1"/>
    </xf>
    <xf numFmtId="0" fontId="53" fillId="3" borderId="57" xfId="2" applyFont="1" applyFill="1" applyBorder="1" applyAlignment="1" applyProtection="1">
      <alignment horizontal="justify" vertical="center" wrapText="1"/>
    </xf>
    <xf numFmtId="0" fontId="52" fillId="3" borderId="58" xfId="0" applyFont="1" applyFill="1" applyBorder="1" applyAlignment="1" applyProtection="1">
      <alignment horizontal="left" vertical="center" wrapText="1"/>
    </xf>
    <xf numFmtId="0" fontId="52" fillId="3" borderId="59" xfId="0" applyFont="1" applyFill="1" applyBorder="1" applyAlignment="1" applyProtection="1">
      <alignment horizontal="left" vertical="center" wrapText="1"/>
    </xf>
    <xf numFmtId="0" fontId="53" fillId="3" borderId="60" xfId="2" applyFont="1" applyFill="1" applyBorder="1" applyAlignment="1" applyProtection="1">
      <alignment horizontal="justify" vertical="center" wrapText="1"/>
    </xf>
    <xf numFmtId="0" fontId="53" fillId="3" borderId="61" xfId="2" applyFont="1" applyFill="1" applyBorder="1" applyAlignment="1" applyProtection="1">
      <alignment horizontal="justify" vertical="center" wrapText="1"/>
    </xf>
    <xf numFmtId="0" fontId="47" fillId="3" borderId="14" xfId="2" applyFont="1" applyFill="1" applyBorder="1" applyAlignment="1" applyProtection="1">
      <alignment horizontal="left" vertical="top" wrapText="1"/>
    </xf>
    <xf numFmtId="0" fontId="47" fillId="3" borderId="0" xfId="2" applyFont="1" applyFill="1" applyBorder="1" applyAlignment="1" applyProtection="1">
      <alignment horizontal="left" vertical="top" wrapText="1"/>
    </xf>
    <xf numFmtId="0" fontId="47" fillId="3" borderId="15" xfId="2" applyFont="1" applyFill="1" applyBorder="1" applyAlignment="1" applyProtection="1">
      <alignment horizontal="left" vertical="top" wrapText="1"/>
    </xf>
    <xf numFmtId="0" fontId="52" fillId="3" borderId="67" xfId="0" applyFont="1" applyFill="1" applyBorder="1" applyAlignment="1" applyProtection="1">
      <alignment horizontal="left" vertical="center" wrapText="1"/>
    </xf>
    <xf numFmtId="0" fontId="52" fillId="3" borderId="68" xfId="0" applyFont="1" applyFill="1" applyBorder="1" applyAlignment="1" applyProtection="1">
      <alignment horizontal="left" vertical="center" wrapText="1"/>
    </xf>
    <xf numFmtId="0" fontId="52" fillId="3" borderId="69" xfId="0" applyFont="1" applyFill="1" applyBorder="1" applyAlignment="1" applyProtection="1">
      <alignment horizontal="left" vertical="center" wrapText="1"/>
    </xf>
    <xf numFmtId="0" fontId="52" fillId="3" borderId="70" xfId="0" applyFont="1" applyFill="1" applyBorder="1" applyAlignment="1" applyProtection="1">
      <alignment horizontal="left" vertical="center" wrapText="1"/>
    </xf>
    <xf numFmtId="0" fontId="53" fillId="3" borderId="62" xfId="0" applyFont="1" applyFill="1" applyBorder="1" applyAlignment="1" applyProtection="1">
      <alignment horizontal="justify" vertical="center" wrapText="1"/>
    </xf>
    <xf numFmtId="0" fontId="53" fillId="3" borderId="63" xfId="0" applyFont="1" applyFill="1" applyBorder="1" applyAlignment="1" applyProtection="1">
      <alignment horizontal="justify" vertical="center" wrapText="1"/>
    </xf>
    <xf numFmtId="0" fontId="47" fillId="3" borderId="14"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15" xfId="2" applyFont="1" applyFill="1" applyBorder="1" applyAlignment="1" applyProtection="1">
      <alignment horizontal="left" vertical="center" wrapText="1"/>
    </xf>
    <xf numFmtId="0" fontId="44" fillId="0" borderId="4" xfId="0" applyFont="1" applyBorder="1" applyAlignment="1" applyProtection="1">
      <alignment horizontal="center" vertical="center"/>
    </xf>
    <xf numFmtId="0" fontId="44" fillId="0" borderId="8" xfId="0" applyFont="1" applyBorder="1" applyAlignment="1" applyProtection="1">
      <alignment horizontal="center" vertical="center"/>
    </xf>
    <xf numFmtId="0" fontId="44" fillId="0" borderId="5" xfId="0" applyFont="1" applyBorder="1" applyAlignment="1" applyProtection="1">
      <alignment horizontal="center" vertical="center"/>
    </xf>
    <xf numFmtId="0" fontId="57" fillId="0" borderId="4" xfId="0" applyFont="1" applyBorder="1" applyAlignment="1" applyProtection="1">
      <alignment horizontal="center" vertical="center" wrapText="1"/>
      <protection locked="0"/>
    </xf>
    <xf numFmtId="0" fontId="57" fillId="0" borderId="8" xfId="0" applyFont="1" applyBorder="1" applyAlignment="1" applyProtection="1">
      <alignment horizontal="center" vertical="center" wrapText="1"/>
      <protection locked="0"/>
    </xf>
    <xf numFmtId="0" fontId="57" fillId="0" borderId="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3" fillId="0" borderId="5"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locked="0"/>
    </xf>
    <xf numFmtId="0" fontId="57" fillId="0" borderId="8" xfId="0" applyFont="1" applyBorder="1" applyAlignment="1" applyProtection="1">
      <alignment horizontal="center" vertical="center"/>
      <protection locked="0"/>
    </xf>
    <xf numFmtId="0" fontId="57" fillId="0" borderId="5" xfId="0" applyFont="1" applyBorder="1" applyAlignment="1" applyProtection="1">
      <alignment horizontal="center" vertical="center"/>
      <protection locked="0"/>
    </xf>
    <xf numFmtId="0" fontId="44" fillId="0" borderId="4" xfId="0" applyFont="1" applyFill="1" applyBorder="1" applyAlignment="1" applyProtection="1">
      <alignment horizontal="center" vertical="center" wrapText="1"/>
      <protection hidden="1"/>
    </xf>
    <xf numFmtId="0" fontId="44" fillId="0" borderId="8" xfId="0" applyFont="1" applyFill="1" applyBorder="1" applyAlignment="1" applyProtection="1">
      <alignment horizontal="center" vertical="center" wrapText="1"/>
      <protection hidden="1"/>
    </xf>
    <xf numFmtId="0" fontId="44" fillId="0" borderId="5" xfId="0" applyFont="1" applyFill="1" applyBorder="1" applyAlignment="1" applyProtection="1">
      <alignment horizontal="center" vertical="center" wrapText="1"/>
      <protection hidden="1"/>
    </xf>
    <xf numFmtId="9" fontId="57" fillId="0" borderId="4" xfId="0" applyNumberFormat="1" applyFont="1" applyBorder="1" applyAlignment="1" applyProtection="1">
      <alignment horizontal="center" vertical="center" wrapText="1"/>
      <protection hidden="1"/>
    </xf>
    <xf numFmtId="9" fontId="57" fillId="0" borderId="8" xfId="0" applyNumberFormat="1" applyFont="1" applyBorder="1" applyAlignment="1" applyProtection="1">
      <alignment horizontal="center" vertical="center" wrapText="1"/>
      <protection hidden="1"/>
    </xf>
    <xf numFmtId="9" fontId="57" fillId="0" borderId="5" xfId="0" applyNumberFormat="1" applyFont="1" applyBorder="1" applyAlignment="1" applyProtection="1">
      <alignment horizontal="center" vertical="center" wrapText="1"/>
      <protection hidden="1"/>
    </xf>
    <xf numFmtId="9" fontId="57" fillId="0" borderId="4" xfId="0" applyNumberFormat="1" applyFont="1" applyBorder="1" applyAlignment="1" applyProtection="1">
      <alignment horizontal="center" vertical="center" wrapText="1"/>
      <protection locked="0"/>
    </xf>
    <xf numFmtId="9" fontId="57" fillId="0" borderId="8" xfId="0" applyNumberFormat="1" applyFont="1" applyBorder="1" applyAlignment="1" applyProtection="1">
      <alignment horizontal="center" vertical="center" wrapText="1"/>
      <protection locked="0"/>
    </xf>
    <xf numFmtId="9" fontId="57" fillId="0" borderId="5" xfId="0" applyNumberFormat="1"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14" fontId="57" fillId="0" borderId="4" xfId="0" applyNumberFormat="1" applyFont="1" applyBorder="1" applyAlignment="1" applyProtection="1">
      <alignment horizontal="center" vertical="center"/>
      <protection locked="0"/>
    </xf>
    <xf numFmtId="14" fontId="57" fillId="0" borderId="5" xfId="0" applyNumberFormat="1" applyFont="1" applyBorder="1" applyAlignment="1" applyProtection="1">
      <alignment horizontal="center" vertical="center"/>
      <protection locked="0"/>
    </xf>
    <xf numFmtId="0" fontId="70" fillId="0" borderId="76" xfId="0" applyFont="1" applyBorder="1" applyAlignment="1" applyProtection="1">
      <alignment horizontal="left" vertical="center" wrapText="1"/>
      <protection locked="0"/>
    </xf>
    <xf numFmtId="0" fontId="69" fillId="0" borderId="78" xfId="0" applyFont="1" applyBorder="1" applyAlignment="1" applyProtection="1">
      <alignment horizontal="left"/>
      <protection locked="0"/>
    </xf>
    <xf numFmtId="0" fontId="69" fillId="0" borderId="79" xfId="0" applyFont="1" applyBorder="1" applyAlignment="1" applyProtection="1">
      <alignment horizontal="left"/>
      <protection locked="0"/>
    </xf>
    <xf numFmtId="9" fontId="70" fillId="0" borderId="76" xfId="0" applyNumberFormat="1" applyFont="1" applyBorder="1" applyAlignment="1" applyProtection="1">
      <alignment horizontal="center" vertical="center" wrapText="1"/>
      <protection locked="0"/>
    </xf>
    <xf numFmtId="0" fontId="69" fillId="0" borderId="78" xfId="0" applyFont="1" applyBorder="1" applyProtection="1">
      <protection locked="0"/>
    </xf>
    <xf numFmtId="0" fontId="69" fillId="0" borderId="79" xfId="0" applyFont="1" applyBorder="1" applyProtection="1">
      <protection locked="0"/>
    </xf>
    <xf numFmtId="0" fontId="67" fillId="0" borderId="76" xfId="0" applyFont="1" applyBorder="1" applyAlignment="1">
      <alignment horizontal="center" vertical="center" wrapText="1"/>
    </xf>
    <xf numFmtId="0" fontId="69" fillId="0" borderId="78" xfId="0" applyFont="1" applyBorder="1"/>
    <xf numFmtId="0" fontId="69" fillId="0" borderId="79" xfId="0" applyFont="1" applyBorder="1"/>
    <xf numFmtId="0" fontId="57" fillId="0" borderId="76" xfId="0" applyFont="1" applyBorder="1" applyAlignment="1">
      <alignment horizontal="center" vertical="center" wrapText="1"/>
    </xf>
    <xf numFmtId="0" fontId="67" fillId="0" borderId="76" xfId="0" applyFont="1" applyBorder="1" applyAlignment="1">
      <alignment horizontal="center" vertical="center"/>
    </xf>
    <xf numFmtId="0" fontId="68" fillId="0" borderId="76" xfId="0" applyFont="1" applyBorder="1" applyAlignment="1">
      <alignment horizontal="center" vertical="center" wrapText="1"/>
    </xf>
    <xf numFmtId="9" fontId="67" fillId="0" borderId="76" xfId="0" applyNumberFormat="1" applyFont="1" applyBorder="1" applyAlignment="1">
      <alignment horizontal="center" vertical="center" wrapText="1"/>
    </xf>
    <xf numFmtId="0" fontId="68" fillId="0" borderId="76" xfId="0" applyFont="1" applyBorder="1" applyAlignment="1">
      <alignment horizontal="center" vertical="center"/>
    </xf>
    <xf numFmtId="0" fontId="62" fillId="16" borderId="2" xfId="0" applyFont="1" applyFill="1" applyBorder="1" applyAlignment="1">
      <alignment horizontal="center" vertical="center" wrapText="1"/>
    </xf>
    <xf numFmtId="0" fontId="0" fillId="0" borderId="29" xfId="0" applyBorder="1" applyAlignment="1" applyProtection="1">
      <alignment horizontal="left" vertical="center" wrapText="1"/>
      <protection locked="0"/>
    </xf>
    <xf numFmtId="0" fontId="63" fillId="16" borderId="6" xfId="0" applyFont="1" applyFill="1" applyBorder="1" applyAlignment="1" applyProtection="1">
      <alignment horizontal="left" vertical="center"/>
      <protection locked="0"/>
    </xf>
    <xf numFmtId="0" fontId="63" fillId="16" borderId="10" xfId="0" applyFont="1" applyFill="1" applyBorder="1" applyAlignment="1" applyProtection="1">
      <alignment horizontal="left" vertical="center"/>
      <protection locked="0"/>
    </xf>
    <xf numFmtId="0" fontId="44" fillId="3" borderId="1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62" fillId="16" borderId="2" xfId="0" applyFont="1" applyFill="1" applyBorder="1" applyAlignment="1">
      <alignment horizontal="center" vertical="center"/>
    </xf>
    <xf numFmtId="0" fontId="64" fillId="16" borderId="4" xfId="0" applyFont="1" applyFill="1" applyBorder="1" applyAlignment="1">
      <alignment horizontal="center" vertical="center" textRotation="90"/>
    </xf>
    <xf numFmtId="0" fontId="64" fillId="16" borderId="5" xfId="0" applyFont="1" applyFill="1" applyBorder="1" applyAlignment="1">
      <alignment horizontal="center" vertical="center" textRotation="90"/>
    </xf>
    <xf numFmtId="0" fontId="62" fillId="16" borderId="4" xfId="0" applyFont="1" applyFill="1" applyBorder="1" applyAlignment="1">
      <alignment horizontal="center" vertical="center" wrapText="1"/>
    </xf>
    <xf numFmtId="0" fontId="62" fillId="16" borderId="5" xfId="0" applyFont="1" applyFill="1" applyBorder="1" applyAlignment="1">
      <alignment horizontal="center" vertical="center" wrapText="1"/>
    </xf>
    <xf numFmtId="0" fontId="62" fillId="16" borderId="5" xfId="0" applyFont="1" applyFill="1" applyBorder="1" applyAlignment="1">
      <alignment horizontal="center" vertical="center"/>
    </xf>
    <xf numFmtId="0" fontId="0" fillId="0" borderId="29" xfId="0" applyBorder="1" applyAlignment="1" applyProtection="1">
      <alignment horizontal="center"/>
      <protection locked="0"/>
    </xf>
    <xf numFmtId="0" fontId="0" fillId="0" borderId="29" xfId="0" applyBorder="1" applyAlignment="1" applyProtection="1">
      <alignment horizontal="center" vertical="center"/>
      <protection locked="0"/>
    </xf>
    <xf numFmtId="0" fontId="62" fillId="16" borderId="4" xfId="0" applyFont="1" applyFill="1" applyBorder="1" applyAlignment="1">
      <alignment horizontal="center" vertical="center" textRotation="90" wrapText="1"/>
    </xf>
    <xf numFmtId="0" fontId="62" fillId="16" borderId="5" xfId="0" applyFont="1" applyFill="1" applyBorder="1" applyAlignment="1">
      <alignment horizontal="center" vertical="center" textRotation="90" wrapText="1"/>
    </xf>
    <xf numFmtId="0" fontId="62" fillId="16" borderId="8" xfId="0" applyFont="1" applyFill="1" applyBorder="1" applyAlignment="1">
      <alignment horizontal="center" vertical="center" wrapText="1"/>
    </xf>
    <xf numFmtId="0" fontId="62" fillId="16" borderId="9" xfId="0" applyFont="1" applyFill="1" applyBorder="1" applyAlignment="1">
      <alignment horizontal="center" vertical="center"/>
    </xf>
    <xf numFmtId="0" fontId="62" fillId="16" borderId="3" xfId="0" applyFont="1" applyFill="1" applyBorder="1" applyAlignment="1">
      <alignment horizontal="center" vertical="center"/>
    </xf>
    <xf numFmtId="0" fontId="62" fillId="16" borderId="9" xfId="0" applyFont="1" applyFill="1" applyBorder="1" applyAlignment="1">
      <alignment horizontal="center" vertical="center" wrapText="1"/>
    </xf>
    <xf numFmtId="0" fontId="33" fillId="3" borderId="9" xfId="0" applyFont="1" applyFill="1" applyBorder="1" applyAlignment="1" applyProtection="1">
      <alignment horizontal="left" vertical="center"/>
      <protection locked="0"/>
    </xf>
    <xf numFmtId="0" fontId="33" fillId="3" borderId="0" xfId="0" applyFont="1" applyFill="1" applyBorder="1" applyAlignment="1" applyProtection="1">
      <alignment horizontal="left" vertical="center"/>
      <protection locked="0"/>
    </xf>
    <xf numFmtId="0" fontId="61" fillId="16" borderId="6" xfId="0" applyFont="1" applyFill="1" applyBorder="1" applyAlignment="1">
      <alignment horizontal="center" vertical="center"/>
    </xf>
    <xf numFmtId="0" fontId="61" fillId="16" borderId="10" xfId="0" applyFont="1" applyFill="1" applyBorder="1" applyAlignment="1">
      <alignment horizontal="center" vertical="center"/>
    </xf>
    <xf numFmtId="0" fontId="61" fillId="16" borderId="7" xfId="0" applyFont="1" applyFill="1" applyBorder="1" applyAlignment="1">
      <alignment horizontal="center" vertical="center"/>
    </xf>
    <xf numFmtId="0" fontId="61" fillId="16" borderId="28" xfId="0" applyFont="1" applyFill="1" applyBorder="1" applyAlignment="1">
      <alignment horizontal="center" vertical="center"/>
    </xf>
    <xf numFmtId="0" fontId="57" fillId="0" borderId="80" xfId="0" applyFont="1" applyBorder="1" applyAlignment="1" applyProtection="1">
      <alignment horizontal="center" vertical="center" wrapText="1"/>
      <protection locked="0"/>
    </xf>
    <xf numFmtId="0" fontId="57" fillId="0" borderId="83" xfId="0" applyFont="1" applyBorder="1" applyAlignment="1" applyProtection="1">
      <alignment horizontal="center" vertical="center" wrapText="1"/>
      <protection locked="0"/>
    </xf>
    <xf numFmtId="0" fontId="57" fillId="0" borderId="86" xfId="0" applyFont="1" applyBorder="1" applyAlignment="1" applyProtection="1">
      <alignment horizontal="center" vertical="center" wrapText="1"/>
      <protection locked="0"/>
    </xf>
    <xf numFmtId="0" fontId="57" fillId="0" borderId="81" xfId="0" applyFont="1" applyBorder="1" applyAlignment="1" applyProtection="1">
      <alignment horizontal="center" vertical="center" wrapText="1"/>
      <protection locked="0"/>
    </xf>
    <xf numFmtId="0" fontId="57" fillId="0" borderId="84" xfId="0" applyFont="1" applyBorder="1" applyAlignment="1" applyProtection="1">
      <alignment horizontal="center" vertical="center" wrapText="1"/>
      <protection locked="0"/>
    </xf>
    <xf numFmtId="0" fontId="57" fillId="0" borderId="87" xfId="0" applyFont="1" applyBorder="1" applyAlignment="1" applyProtection="1">
      <alignment horizontal="center" vertical="center" wrapText="1"/>
      <protection locked="0"/>
    </xf>
    <xf numFmtId="0" fontId="57" fillId="0" borderId="82" xfId="0" applyFont="1" applyBorder="1" applyAlignment="1" applyProtection="1">
      <alignment horizontal="center" vertical="center" wrapText="1"/>
      <protection locked="0"/>
    </xf>
    <xf numFmtId="0" fontId="57" fillId="0" borderId="85" xfId="0" applyFont="1" applyBorder="1" applyAlignment="1" applyProtection="1">
      <alignment horizontal="center" vertical="center" wrapText="1"/>
      <protection locked="0"/>
    </xf>
    <xf numFmtId="0" fontId="57" fillId="0" borderId="88" xfId="0" applyFont="1" applyBorder="1" applyAlignment="1" applyProtection="1">
      <alignment horizontal="center" vertical="center" wrapText="1"/>
      <protection locked="0"/>
    </xf>
    <xf numFmtId="9" fontId="75" fillId="0" borderId="89" xfId="0" applyNumberFormat="1" applyFont="1" applyBorder="1" applyAlignment="1">
      <alignment horizontal="center" vertical="center" wrapText="1"/>
    </xf>
    <xf numFmtId="0" fontId="69" fillId="0" borderId="91" xfId="0" applyFont="1" applyBorder="1"/>
    <xf numFmtId="0" fontId="69" fillId="0" borderId="92" xfId="0" applyFont="1" applyBorder="1"/>
    <xf numFmtId="0" fontId="76" fillId="0" borderId="89" xfId="0" applyFont="1" applyBorder="1" applyAlignment="1">
      <alignment horizontal="center" vertical="center" wrapText="1"/>
    </xf>
    <xf numFmtId="0" fontId="76" fillId="0" borderId="89" xfId="0" applyFont="1" applyBorder="1" applyAlignment="1">
      <alignment horizontal="center" vertical="center"/>
    </xf>
    <xf numFmtId="0" fontId="75" fillId="0" borderId="89" xfId="0" applyFont="1" applyBorder="1" applyAlignment="1">
      <alignment horizontal="center" vertical="center" wrapText="1"/>
    </xf>
    <xf numFmtId="0" fontId="67" fillId="0" borderId="89" xfId="0" applyFont="1" applyBorder="1" applyAlignment="1">
      <alignment horizontal="center" vertical="center" wrapText="1"/>
    </xf>
    <xf numFmtId="0" fontId="75" fillId="0" borderId="89" xfId="0" applyFont="1" applyBorder="1" applyAlignment="1">
      <alignment horizontal="center" vertical="center"/>
    </xf>
    <xf numFmtId="0" fontId="24" fillId="0" borderId="0" xfId="0" applyFont="1" applyAlignment="1">
      <alignment horizontal="center" vertical="center" wrapText="1"/>
    </xf>
    <xf numFmtId="0" fontId="19" fillId="5" borderId="1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15" xfId="0" applyFont="1" applyFill="1" applyBorder="1" applyAlignment="1">
      <alignment horizontal="center" vertical="center" textRotation="90" wrapText="1" readingOrder="1"/>
    </xf>
    <xf numFmtId="0" fontId="20" fillId="12" borderId="20" xfId="0" applyFont="1" applyFill="1" applyBorder="1" applyAlignment="1">
      <alignment horizontal="center" vertical="center" wrapText="1" readingOrder="1"/>
    </xf>
    <xf numFmtId="0" fontId="20" fillId="12" borderId="21"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24" xfId="0" applyFont="1" applyFill="1" applyBorder="1" applyAlignment="1">
      <alignment horizontal="center" vertical="center" wrapText="1" readingOrder="1"/>
    </xf>
    <xf numFmtId="0" fontId="20" fillId="12" borderId="25" xfId="0" applyFont="1" applyFill="1" applyBorder="1" applyAlignment="1">
      <alignment horizontal="center" vertical="center" wrapText="1" readingOrder="1"/>
    </xf>
    <xf numFmtId="0" fontId="20" fillId="12" borderId="26" xfId="0" applyFont="1" applyFill="1" applyBorder="1" applyAlignment="1">
      <alignment horizontal="center" vertical="center" wrapText="1" readingOrder="1"/>
    </xf>
    <xf numFmtId="0" fontId="20" fillId="12" borderId="27"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1" borderId="21" xfId="0" applyFont="1" applyFill="1" applyBorder="1" applyAlignment="1">
      <alignment horizontal="center" vertical="center" wrapText="1" readingOrder="1"/>
    </xf>
    <xf numFmtId="0" fontId="20" fillId="11" borderId="22" xfId="0" applyFont="1" applyFill="1" applyBorder="1" applyAlignment="1">
      <alignment horizontal="center" vertical="center" wrapText="1" readingOrder="1"/>
    </xf>
    <xf numFmtId="0" fontId="20" fillId="11" borderId="23"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24" xfId="0" applyFont="1" applyFill="1" applyBorder="1" applyAlignment="1">
      <alignment horizontal="center" vertical="center" wrapText="1" readingOrder="1"/>
    </xf>
    <xf numFmtId="0" fontId="20" fillId="11" borderId="25" xfId="0" applyFont="1" applyFill="1" applyBorder="1" applyAlignment="1">
      <alignment horizontal="center" vertical="center" wrapText="1" readingOrder="1"/>
    </xf>
    <xf numFmtId="0" fontId="20" fillId="11" borderId="26" xfId="0" applyFont="1" applyFill="1" applyBorder="1" applyAlignment="1">
      <alignment horizontal="center" vertical="center" wrapText="1" readingOrder="1"/>
    </xf>
    <xf numFmtId="0" fontId="20" fillId="11" borderId="27"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13" borderId="21" xfId="0" applyFont="1" applyFill="1" applyBorder="1" applyAlignment="1">
      <alignment horizontal="center" vertical="center" wrapText="1" readingOrder="1"/>
    </xf>
    <xf numFmtId="0" fontId="20" fillId="13" borderId="22" xfId="0" applyFont="1" applyFill="1" applyBorder="1" applyAlignment="1">
      <alignment horizontal="center" vertical="center" wrapText="1" readingOrder="1"/>
    </xf>
    <xf numFmtId="0" fontId="20" fillId="13" borderId="23"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24" xfId="0" applyFont="1" applyFill="1" applyBorder="1" applyAlignment="1">
      <alignment horizontal="center" vertical="center" wrapText="1" readingOrder="1"/>
    </xf>
    <xf numFmtId="0" fontId="20" fillId="13" borderId="25"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13" borderId="27"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5" xfId="0" applyFont="1" applyFill="1" applyBorder="1" applyAlignment="1">
      <alignment horizontal="center" vertical="center" wrapText="1" readingOrder="1"/>
    </xf>
    <xf numFmtId="0" fontId="20" fillId="5" borderId="26" xfId="0" applyFont="1" applyFill="1" applyBorder="1" applyAlignment="1">
      <alignment horizontal="center" vertical="center" wrapText="1" readingOrder="1"/>
    </xf>
    <xf numFmtId="0" fontId="20" fillId="5" borderId="27"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41" fillId="0" borderId="1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wrapText="1"/>
    </xf>
    <xf numFmtId="0" fontId="40" fillId="11" borderId="20"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11" borderId="22" xfId="0" applyFont="1" applyFill="1" applyBorder="1" applyAlignment="1">
      <alignment horizontal="center" vertical="center" wrapText="1" readingOrder="1"/>
    </xf>
    <xf numFmtId="0" fontId="40" fillId="11" borderId="23"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24" xfId="0" applyFont="1" applyFill="1" applyBorder="1" applyAlignment="1">
      <alignment horizontal="center" vertical="center" wrapText="1" readingOrder="1"/>
    </xf>
    <xf numFmtId="0" fontId="40" fillId="11" borderId="25" xfId="0" applyFont="1" applyFill="1" applyBorder="1" applyAlignment="1">
      <alignment horizontal="center" vertical="center" wrapText="1" readingOrder="1"/>
    </xf>
    <xf numFmtId="0" fontId="40" fillId="11" borderId="26" xfId="0" applyFont="1" applyFill="1" applyBorder="1" applyAlignment="1">
      <alignment horizontal="center" vertical="center" wrapText="1" readingOrder="1"/>
    </xf>
    <xf numFmtId="0" fontId="40" fillId="11" borderId="27" xfId="0" applyFont="1" applyFill="1" applyBorder="1" applyAlignment="1">
      <alignment horizontal="center" vertical="center" wrapText="1" readingOrder="1"/>
    </xf>
    <xf numFmtId="0" fontId="41" fillId="0" borderId="14" xfId="0" applyFont="1" applyBorder="1" applyAlignment="1">
      <alignment horizontal="center" vertical="center" wrapText="1"/>
    </xf>
    <xf numFmtId="0" fontId="41" fillId="0" borderId="0" xfId="0" applyFont="1" applyBorder="1" applyAlignment="1">
      <alignment horizontal="center" vertical="center"/>
    </xf>
    <xf numFmtId="0" fontId="40" fillId="12" borderId="20" xfId="0" applyFont="1" applyFill="1" applyBorder="1" applyAlignment="1">
      <alignment horizontal="center" vertical="center" wrapText="1" readingOrder="1"/>
    </xf>
    <xf numFmtId="0" fontId="40" fillId="12" borderId="21" xfId="0" applyFont="1" applyFill="1" applyBorder="1" applyAlignment="1">
      <alignment horizontal="center" vertical="center" wrapText="1" readingOrder="1"/>
    </xf>
    <xf numFmtId="0" fontId="40" fillId="12" borderId="22" xfId="0" applyFont="1" applyFill="1" applyBorder="1" applyAlignment="1">
      <alignment horizontal="center" vertical="center" wrapText="1" readingOrder="1"/>
    </xf>
    <xf numFmtId="0" fontId="40" fillId="12" borderId="23"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24" xfId="0" applyFont="1" applyFill="1" applyBorder="1" applyAlignment="1">
      <alignment horizontal="center" vertical="center" wrapText="1" readingOrder="1"/>
    </xf>
    <xf numFmtId="0" fontId="40" fillId="12" borderId="25" xfId="0" applyFont="1" applyFill="1" applyBorder="1" applyAlignment="1">
      <alignment horizontal="center" vertical="center" wrapText="1" readingOrder="1"/>
    </xf>
    <xf numFmtId="0" fontId="40" fillId="12" borderId="26" xfId="0" applyFont="1" applyFill="1" applyBorder="1" applyAlignment="1">
      <alignment horizontal="center" vertical="center" wrapText="1" readingOrder="1"/>
    </xf>
    <xf numFmtId="0" fontId="40" fillId="12" borderId="27"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22" xfId="0" applyFont="1" applyFill="1" applyBorder="1" applyAlignment="1">
      <alignment horizontal="center" vertical="center" wrapText="1" readingOrder="1"/>
    </xf>
    <xf numFmtId="0" fontId="40" fillId="5" borderId="23" xfId="0" applyFont="1" applyFill="1" applyBorder="1" applyAlignment="1">
      <alignment horizontal="center" vertical="center" wrapText="1" readingOrder="1"/>
    </xf>
    <xf numFmtId="0" fontId="40" fillId="5" borderId="0" xfId="0" applyFont="1" applyFill="1" applyBorder="1" applyAlignment="1">
      <alignment horizontal="center" vertical="center" wrapText="1" readingOrder="1"/>
    </xf>
    <xf numFmtId="0" fontId="40" fillId="5" borderId="24" xfId="0" applyFont="1" applyFill="1" applyBorder="1" applyAlignment="1">
      <alignment horizontal="center" vertical="center" wrapText="1" readingOrder="1"/>
    </xf>
    <xf numFmtId="0" fontId="40" fillId="5" borderId="25" xfId="0" applyFont="1" applyFill="1" applyBorder="1" applyAlignment="1">
      <alignment horizontal="center" vertical="center" wrapText="1" readingOrder="1"/>
    </xf>
    <xf numFmtId="0" fontId="40" fillId="5" borderId="26" xfId="0" applyFont="1" applyFill="1" applyBorder="1" applyAlignment="1">
      <alignment horizontal="center" vertical="center" wrapText="1" readingOrder="1"/>
    </xf>
    <xf numFmtId="0" fontId="40" fillId="5" borderId="27"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0" fillId="13" borderId="21" xfId="0" applyFont="1" applyFill="1" applyBorder="1" applyAlignment="1">
      <alignment horizontal="center" vertical="center" wrapText="1" readingOrder="1"/>
    </xf>
    <xf numFmtId="0" fontId="40" fillId="13" borderId="22" xfId="0" applyFont="1" applyFill="1" applyBorder="1" applyAlignment="1">
      <alignment horizontal="center" vertical="center" wrapText="1" readingOrder="1"/>
    </xf>
    <xf numFmtId="0" fontId="40" fillId="13" borderId="23" xfId="0" applyFont="1" applyFill="1" applyBorder="1" applyAlignment="1">
      <alignment horizontal="center" vertical="center" wrapText="1" readingOrder="1"/>
    </xf>
    <xf numFmtId="0" fontId="40" fillId="13" borderId="0" xfId="0" applyFont="1" applyFill="1" applyBorder="1" applyAlignment="1">
      <alignment horizontal="center" vertical="center" wrapText="1" readingOrder="1"/>
    </xf>
    <xf numFmtId="0" fontId="40" fillId="13" borderId="24" xfId="0" applyFont="1" applyFill="1" applyBorder="1" applyAlignment="1">
      <alignment horizontal="center" vertical="center" wrapText="1" readingOrder="1"/>
    </xf>
    <xf numFmtId="0" fontId="40" fillId="13" borderId="25" xfId="0" applyFont="1" applyFill="1" applyBorder="1" applyAlignment="1">
      <alignment horizontal="center" vertical="center" wrapText="1" readingOrder="1"/>
    </xf>
    <xf numFmtId="0" fontId="40" fillId="13" borderId="26" xfId="0" applyFont="1" applyFill="1" applyBorder="1" applyAlignment="1">
      <alignment horizontal="center" vertical="center" wrapText="1" readingOrder="1"/>
    </xf>
    <xf numFmtId="0" fontId="40" fillId="13" borderId="27"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31" xfId="0" applyFont="1" applyFill="1" applyBorder="1" applyAlignment="1">
      <alignment horizontal="center" vertical="center" wrapText="1" readingOrder="1"/>
    </xf>
    <xf numFmtId="0" fontId="38" fillId="15" borderId="32" xfId="0" applyFont="1" applyFill="1" applyBorder="1" applyAlignment="1">
      <alignment horizontal="center" vertical="center" wrapText="1" readingOrder="1"/>
    </xf>
    <xf numFmtId="0" fontId="38" fillId="15" borderId="43" xfId="0" applyFont="1" applyFill="1" applyBorder="1" applyAlignment="1">
      <alignment horizontal="center" vertical="center" wrapText="1" readingOrder="1"/>
    </xf>
    <xf numFmtId="0" fontId="33" fillId="3" borderId="0" xfId="0" applyFont="1" applyFill="1" applyBorder="1" applyAlignment="1">
      <alignment horizontal="justify" vertical="center" wrapText="1"/>
    </xf>
    <xf numFmtId="0" fontId="35" fillId="15" borderId="40" xfId="0" applyFont="1" applyFill="1" applyBorder="1" applyAlignment="1">
      <alignment horizontal="center" vertical="center" wrapText="1" readingOrder="1"/>
    </xf>
    <xf numFmtId="0" fontId="35" fillId="15" borderId="41" xfId="0" applyFont="1" applyFill="1" applyBorder="1" applyAlignment="1">
      <alignment horizontal="center" vertical="center" wrapText="1" readingOrder="1"/>
    </xf>
    <xf numFmtId="0" fontId="35" fillId="3" borderId="38" xfId="0"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9" xfId="0" applyFont="1" applyFill="1" applyBorder="1" applyAlignment="1">
      <alignment horizontal="center" vertical="center" wrapText="1" readingOrder="1"/>
    </xf>
    <xf numFmtId="0" fontId="35" fillId="3" borderId="35" xfId="0" applyFont="1" applyFill="1" applyBorder="1" applyAlignment="1">
      <alignment horizontal="center" vertical="center" wrapText="1" readingOrder="1"/>
    </xf>
    <xf numFmtId="0" fontId="35" fillId="3" borderId="36" xfId="0" applyFont="1" applyFill="1" applyBorder="1" applyAlignment="1">
      <alignment horizontal="center" vertical="center" wrapText="1" readingOrder="1"/>
    </xf>
  </cellXfs>
  <cellStyles count="7">
    <cellStyle name="Millares 2" xfId="5"/>
    <cellStyle name="Millares 2 2" xfId="6"/>
    <cellStyle name="Normal" xfId="0" builtinId="0"/>
    <cellStyle name="Normal - Style1 2" xfId="2"/>
    <cellStyle name="Normal 2" xfId="4"/>
    <cellStyle name="Normal 2 2" xfId="3"/>
    <cellStyle name="Porcentaje" xfId="1" builtinId="5"/>
  </cellStyles>
  <dxfs count="2508">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46C0A"/>
          <bgColor rgb="FFE46C0A"/>
        </patternFill>
      </fill>
    </dxf>
    <dxf>
      <fill>
        <patternFill patternType="solid">
          <fgColor rgb="FFC00000"/>
          <bgColor rgb="FFC0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46C0A"/>
          <bgColor rgb="FFE46C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46C0A"/>
          <bgColor rgb="FFE46C0A"/>
        </patternFill>
      </fill>
    </dxf>
    <dxf>
      <fill>
        <patternFill patternType="solid">
          <fgColor rgb="FFC00000"/>
          <bgColor rgb="FFC00000"/>
        </patternFill>
      </fill>
    </dxf>
    <dxf>
      <font>
        <color rgb="FFFFFFFF"/>
      </font>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styles" Target="style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pivotCacheDefinition" Target="pivotCache/pivotCacheDefinition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sharedStrings" Target="sharedString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ustomXml" Target="../customXml/item1.xml"/><Relationship Id="rId20" Type="http://schemas.openxmlformats.org/officeDocument/2006/relationships/externalLink" Target="externalLinks/externalLink9.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83342</xdr:rowOff>
    </xdr:from>
    <xdr:to>
      <xdr:col>1</xdr:col>
      <xdr:colOff>1866664</xdr:colOff>
      <xdr:row>4</xdr:row>
      <xdr:rowOff>2014</xdr:rowOff>
    </xdr:to>
    <xdr:pic>
      <xdr:nvPicPr>
        <xdr:cNvPr id="2" name="Picture 20">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088" y="83342"/>
          <a:ext cx="1809514" cy="6548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emartinez/AppData/Local/Microsoft/Windows/Temporary%20Internet%20Files/Content.Outlook/X08YSC5Q/Copia%20de%20Formato%20riesgos%20corrupci&#243;n%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ownloads/1.DRS081IDENTIFICACIONDERIESGOSA2022Ultim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wnloads/7.LaboratoriodeSaludPublicaMatrizderiesgos2022%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ownloads/3.SALUDIDENTIFICACIONRIESGOSGESTIONDELASALUD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ownloads/4.IVCIDENTIFICACIONDERIESGOS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ownloads/5.OPACSIDENTIFICACIONDERIESGOS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valbuena/Downloads/MapadeRiegosdeGestindeSeguridadySaludenelTrabajo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tvalbuena/Downloads/IDENTIFICACIONDERIESGOSGCONTRACTUAL2022VERSION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tvalbuena/Downloads/IDENTIFICACIONDERIESGOSAJUSTADOGestinFinancieramayo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tvalbuena/Downloads/MAPADERIESGOSFINALGestinAsuntosInternacionales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tvalbuena/Downloads/MATRIZDERIESGOS2022GBTH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mherazo/AppData/Local/Microsoft/Windows/INetCache/Content.Outlook/QPAIJPHY/Formatoriesgosoctubre2017_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valbuena/Downloads/MAPADERIESGOSGESTINJURDICA2022_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tvalbuena/Downloads/Identificacinderiesgosingresos2022Definitiv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tvalbuena/Downloads/RiesgosGRF2904202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tvalbuena/Downloads/IDENTIFICACIONDERIESGOGestionAmbiental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tvalbuena/Downloads/6.AseguramientoenSaludMatrizriesgos20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uario/Documents/GOBERNACI&#211;N/2022/Mayo%2018%20-Junio%2017/Identificacion%20de%20Riesgos%20Proceso%20PCDES%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tvalbuena/Downloads/8.%20%20Gestio&#769;n%20Salud%20Pu&#769;blica%20Matriz%20de%20riesgo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IdentificacinRiesgosdeGestin2022%20V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tvalbuena/Downloads/5.MATRIZ%20DE%20RIESGO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mherazo/Documents/2019/PAAC%202019/Formato%20riesgos%20corrupci&#243;n%202019%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valbuena/Downloads/IdentificaciondeRiesgosSCTeI2021final3130520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valbuena/Downloads/IDENTIFICACIONDERIESGOSP.D.SOCIAL.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valbuena/Downloads/MATRIZDEIDENTIFICACIONDERIESGOS2022GDCARACTERIZ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valbuena/Downloads/MatrizdeRiesgosGestionProcesoEVA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valbuena/Downloads/2.CRUEMatrizdeRiesgos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Impacto"/>
      <sheetName val="Tabla Valoración controles"/>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row>
      </sheetData>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sheetData sheetId="2" refreshError="1">
        <row r="2">
          <cell r="AS2" t="str">
            <v>Asignado</v>
          </cell>
          <cell r="AU2" t="str">
            <v>Confiable</v>
          </cell>
        </row>
        <row r="3">
          <cell r="AU3" t="str">
            <v>No confiable</v>
          </cell>
        </row>
        <row r="8">
          <cell r="AU8" t="str">
            <v>Completa</v>
          </cell>
        </row>
        <row r="9">
          <cell r="AU9" t="str">
            <v>Incompleta</v>
          </cell>
        </row>
        <row r="10">
          <cell r="AU10" t="str">
            <v>No existe</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32" dataDxfId="131">
  <autoFilter ref="B209:C219"/>
  <tableColumns count="2">
    <tableColumn id="1" name="Criterios" dataDxfId="130"/>
    <tableColumn id="2" name="Subcriterios" dataDxfId="12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46"/>
  <sheetViews>
    <sheetView topLeftCell="B1" zoomScaleNormal="100" workbookViewId="0">
      <selection activeCell="C36" sqref="C36:D36"/>
    </sheetView>
  </sheetViews>
  <sheetFormatPr baseColWidth="10" defaultColWidth="11.42578125" defaultRowHeight="15"/>
  <cols>
    <col min="1" max="1" width="2.85546875" style="76" customWidth="1"/>
    <col min="2" max="3" width="24.7109375" style="76" customWidth="1"/>
    <col min="4" max="4" width="16" style="76" customWidth="1"/>
    <col min="5" max="5" width="24.7109375" style="76" customWidth="1"/>
    <col min="6" max="6" width="27.7109375" style="76" customWidth="1"/>
    <col min="7" max="7" width="24.7109375" style="76" customWidth="1"/>
    <col min="8" max="8" width="33.28515625" style="76" customWidth="1"/>
    <col min="9" max="16384" width="11.42578125" style="76"/>
  </cols>
  <sheetData>
    <row r="1" spans="2:8" ht="15.75" thickBot="1"/>
    <row r="2" spans="2:8" ht="18">
      <c r="B2" s="299" t="s">
        <v>152</v>
      </c>
      <c r="C2" s="300"/>
      <c r="D2" s="300"/>
      <c r="E2" s="300"/>
      <c r="F2" s="300"/>
      <c r="G2" s="300"/>
      <c r="H2" s="301"/>
    </row>
    <row r="3" spans="2:8">
      <c r="B3" s="77"/>
      <c r="C3" s="78"/>
      <c r="D3" s="78"/>
      <c r="E3" s="78"/>
      <c r="F3" s="78"/>
      <c r="G3" s="78"/>
      <c r="H3" s="79"/>
    </row>
    <row r="4" spans="2:8" ht="63" customHeight="1">
      <c r="B4" s="302" t="s">
        <v>184</v>
      </c>
      <c r="C4" s="303"/>
      <c r="D4" s="303"/>
      <c r="E4" s="303"/>
      <c r="F4" s="303"/>
      <c r="G4" s="303"/>
      <c r="H4" s="304"/>
    </row>
    <row r="5" spans="2:8" ht="63" customHeight="1">
      <c r="B5" s="305"/>
      <c r="C5" s="306"/>
      <c r="D5" s="306"/>
      <c r="E5" s="306"/>
      <c r="F5" s="306"/>
      <c r="G5" s="306"/>
      <c r="H5" s="307"/>
    </row>
    <row r="6" spans="2:8" ht="16.5">
      <c r="B6" s="308" t="s">
        <v>150</v>
      </c>
      <c r="C6" s="309"/>
      <c r="D6" s="309"/>
      <c r="E6" s="309"/>
      <c r="F6" s="309"/>
      <c r="G6" s="309"/>
      <c r="H6" s="310"/>
    </row>
    <row r="7" spans="2:8" ht="95.25" customHeight="1">
      <c r="B7" s="318" t="s">
        <v>155</v>
      </c>
      <c r="C7" s="319"/>
      <c r="D7" s="319"/>
      <c r="E7" s="319"/>
      <c r="F7" s="319"/>
      <c r="G7" s="319"/>
      <c r="H7" s="320"/>
    </row>
    <row r="8" spans="2:8" ht="16.5">
      <c r="B8" s="112"/>
      <c r="C8" s="113"/>
      <c r="D8" s="113"/>
      <c r="E8" s="113"/>
      <c r="F8" s="113"/>
      <c r="G8" s="113"/>
      <c r="H8" s="114"/>
    </row>
    <row r="9" spans="2:8" ht="16.5" customHeight="1">
      <c r="B9" s="311" t="s">
        <v>233</v>
      </c>
      <c r="C9" s="312"/>
      <c r="D9" s="312"/>
      <c r="E9" s="312"/>
      <c r="F9" s="312"/>
      <c r="G9" s="312"/>
      <c r="H9" s="313"/>
    </row>
    <row r="10" spans="2:8" ht="44.25" customHeight="1">
      <c r="B10" s="311"/>
      <c r="C10" s="312"/>
      <c r="D10" s="312"/>
      <c r="E10" s="312"/>
      <c r="F10" s="312"/>
      <c r="G10" s="312"/>
      <c r="H10" s="313"/>
    </row>
    <row r="11" spans="2:8" ht="15.75" thickBot="1">
      <c r="B11" s="101"/>
      <c r="C11" s="103"/>
      <c r="D11" s="108"/>
      <c r="E11" s="109"/>
      <c r="F11" s="109"/>
      <c r="G11" s="110"/>
      <c r="H11" s="111"/>
    </row>
    <row r="12" spans="2:8" ht="15.75" thickTop="1">
      <c r="B12" s="101"/>
      <c r="C12" s="314" t="s">
        <v>151</v>
      </c>
      <c r="D12" s="315"/>
      <c r="E12" s="316" t="s">
        <v>183</v>
      </c>
      <c r="F12" s="317"/>
      <c r="G12" s="103"/>
      <c r="H12" s="104"/>
    </row>
    <row r="13" spans="2:8" ht="35.25" customHeight="1">
      <c r="B13" s="101"/>
      <c r="C13" s="321" t="s">
        <v>177</v>
      </c>
      <c r="D13" s="322"/>
      <c r="E13" s="323" t="s">
        <v>182</v>
      </c>
      <c r="F13" s="324"/>
      <c r="G13" s="103"/>
      <c r="H13" s="104"/>
    </row>
    <row r="14" spans="2:8" ht="17.25" customHeight="1">
      <c r="B14" s="101"/>
      <c r="C14" s="321" t="s">
        <v>178</v>
      </c>
      <c r="D14" s="322"/>
      <c r="E14" s="323" t="s">
        <v>180</v>
      </c>
      <c r="F14" s="324"/>
      <c r="G14" s="103"/>
      <c r="H14" s="104"/>
    </row>
    <row r="15" spans="2:8" ht="19.5" customHeight="1">
      <c r="B15" s="101"/>
      <c r="C15" s="321" t="s">
        <v>179</v>
      </c>
      <c r="D15" s="322"/>
      <c r="E15" s="323" t="s">
        <v>181</v>
      </c>
      <c r="F15" s="324"/>
      <c r="G15" s="103"/>
      <c r="H15" s="104"/>
    </row>
    <row r="16" spans="2:8" ht="69.75" customHeight="1">
      <c r="B16" s="101"/>
      <c r="C16" s="321" t="s">
        <v>153</v>
      </c>
      <c r="D16" s="322"/>
      <c r="E16" s="323" t="s">
        <v>154</v>
      </c>
      <c r="F16" s="324"/>
      <c r="G16" s="103"/>
      <c r="H16" s="104"/>
    </row>
    <row r="17" spans="2:8" ht="34.5" customHeight="1">
      <c r="B17" s="101"/>
      <c r="C17" s="325" t="s">
        <v>2</v>
      </c>
      <c r="D17" s="326"/>
      <c r="E17" s="327" t="s">
        <v>185</v>
      </c>
      <c r="F17" s="328"/>
      <c r="G17" s="103"/>
      <c r="H17" s="104"/>
    </row>
    <row r="18" spans="2:8" ht="27.75" customHeight="1">
      <c r="B18" s="101"/>
      <c r="C18" s="325" t="s">
        <v>3</v>
      </c>
      <c r="D18" s="326"/>
      <c r="E18" s="327" t="s">
        <v>186</v>
      </c>
      <c r="F18" s="328"/>
      <c r="G18" s="103"/>
      <c r="H18" s="104"/>
    </row>
    <row r="19" spans="2:8" ht="28.5" customHeight="1">
      <c r="B19" s="101"/>
      <c r="C19" s="325" t="s">
        <v>38</v>
      </c>
      <c r="D19" s="326"/>
      <c r="E19" s="327" t="s">
        <v>187</v>
      </c>
      <c r="F19" s="328"/>
      <c r="G19" s="103"/>
      <c r="H19" s="104"/>
    </row>
    <row r="20" spans="2:8" ht="72.75" customHeight="1">
      <c r="B20" s="101"/>
      <c r="C20" s="325" t="s">
        <v>1</v>
      </c>
      <c r="D20" s="326"/>
      <c r="E20" s="327" t="s">
        <v>188</v>
      </c>
      <c r="F20" s="328"/>
      <c r="G20" s="103"/>
      <c r="H20" s="104"/>
    </row>
    <row r="21" spans="2:8" ht="64.5" customHeight="1">
      <c r="B21" s="101"/>
      <c r="C21" s="325" t="s">
        <v>46</v>
      </c>
      <c r="D21" s="326"/>
      <c r="E21" s="327" t="s">
        <v>157</v>
      </c>
      <c r="F21" s="328"/>
      <c r="G21" s="103"/>
      <c r="H21" s="104"/>
    </row>
    <row r="22" spans="2:8" ht="71.25" customHeight="1">
      <c r="B22" s="101"/>
      <c r="C22" s="325" t="s">
        <v>156</v>
      </c>
      <c r="D22" s="326"/>
      <c r="E22" s="327" t="s">
        <v>158</v>
      </c>
      <c r="F22" s="328"/>
      <c r="G22" s="103"/>
      <c r="H22" s="104"/>
    </row>
    <row r="23" spans="2:8" ht="55.5" customHeight="1">
      <c r="B23" s="101"/>
      <c r="C23" s="332" t="s">
        <v>159</v>
      </c>
      <c r="D23" s="333"/>
      <c r="E23" s="327" t="s">
        <v>241</v>
      </c>
      <c r="F23" s="328"/>
      <c r="G23" s="103"/>
      <c r="H23" s="104"/>
    </row>
    <row r="24" spans="2:8" ht="42" customHeight="1">
      <c r="B24" s="101"/>
      <c r="C24" s="332" t="s">
        <v>44</v>
      </c>
      <c r="D24" s="333"/>
      <c r="E24" s="327" t="s">
        <v>242</v>
      </c>
      <c r="F24" s="328"/>
      <c r="G24" s="103"/>
      <c r="H24" s="104"/>
    </row>
    <row r="25" spans="2:8" ht="59.25" customHeight="1">
      <c r="B25" s="101"/>
      <c r="C25" s="332" t="s">
        <v>149</v>
      </c>
      <c r="D25" s="333"/>
      <c r="E25" s="327" t="s">
        <v>160</v>
      </c>
      <c r="F25" s="328"/>
      <c r="G25" s="103"/>
      <c r="H25" s="104"/>
    </row>
    <row r="26" spans="2:8" ht="23.25" customHeight="1">
      <c r="B26" s="101"/>
      <c r="C26" s="332" t="s">
        <v>12</v>
      </c>
      <c r="D26" s="333"/>
      <c r="E26" s="327" t="s">
        <v>243</v>
      </c>
      <c r="F26" s="328"/>
      <c r="G26" s="103"/>
      <c r="H26" s="104"/>
    </row>
    <row r="27" spans="2:8" ht="30.75" customHeight="1">
      <c r="B27" s="101"/>
      <c r="C27" s="332" t="s">
        <v>164</v>
      </c>
      <c r="D27" s="333"/>
      <c r="E27" s="327" t="s">
        <v>161</v>
      </c>
      <c r="F27" s="328"/>
      <c r="G27" s="103"/>
      <c r="H27" s="104"/>
    </row>
    <row r="28" spans="2:8" ht="35.25" customHeight="1">
      <c r="B28" s="101"/>
      <c r="C28" s="332" t="s">
        <v>165</v>
      </c>
      <c r="D28" s="333"/>
      <c r="E28" s="327" t="s">
        <v>162</v>
      </c>
      <c r="F28" s="328"/>
      <c r="G28" s="103"/>
      <c r="H28" s="104"/>
    </row>
    <row r="29" spans="2:8" ht="33" customHeight="1">
      <c r="B29" s="101"/>
      <c r="C29" s="332" t="s">
        <v>165</v>
      </c>
      <c r="D29" s="333"/>
      <c r="E29" s="327" t="s">
        <v>162</v>
      </c>
      <c r="F29" s="328"/>
      <c r="G29" s="103"/>
      <c r="H29" s="104"/>
    </row>
    <row r="30" spans="2:8" ht="30" customHeight="1">
      <c r="B30" s="101"/>
      <c r="C30" s="332" t="s">
        <v>166</v>
      </c>
      <c r="D30" s="333"/>
      <c r="E30" s="327" t="s">
        <v>163</v>
      </c>
      <c r="F30" s="328"/>
      <c r="G30" s="103"/>
      <c r="H30" s="104"/>
    </row>
    <row r="31" spans="2:8" ht="35.25" customHeight="1">
      <c r="B31" s="101"/>
      <c r="C31" s="332" t="s">
        <v>167</v>
      </c>
      <c r="D31" s="333"/>
      <c r="E31" s="327" t="s">
        <v>168</v>
      </c>
      <c r="F31" s="328"/>
      <c r="G31" s="103"/>
      <c r="H31" s="104"/>
    </row>
    <row r="32" spans="2:8" ht="31.5" customHeight="1">
      <c r="B32" s="101"/>
      <c r="C32" s="332" t="s">
        <v>169</v>
      </c>
      <c r="D32" s="333"/>
      <c r="E32" s="327" t="s">
        <v>170</v>
      </c>
      <c r="F32" s="328"/>
      <c r="G32" s="103"/>
      <c r="H32" s="104"/>
    </row>
    <row r="33" spans="2:8" ht="35.25" customHeight="1">
      <c r="B33" s="101"/>
      <c r="C33" s="332" t="s">
        <v>244</v>
      </c>
      <c r="D33" s="333"/>
      <c r="E33" s="327" t="s">
        <v>171</v>
      </c>
      <c r="F33" s="328"/>
      <c r="G33" s="103"/>
      <c r="H33" s="104"/>
    </row>
    <row r="34" spans="2:8" ht="59.25" customHeight="1">
      <c r="B34" s="101"/>
      <c r="C34" s="332" t="s">
        <v>172</v>
      </c>
      <c r="D34" s="333"/>
      <c r="E34" s="327" t="s">
        <v>245</v>
      </c>
      <c r="F34" s="328"/>
      <c r="G34" s="103"/>
      <c r="H34" s="104"/>
    </row>
    <row r="35" spans="2:8" ht="29.25" customHeight="1">
      <c r="B35" s="101"/>
      <c r="C35" s="332" t="s">
        <v>29</v>
      </c>
      <c r="D35" s="333"/>
      <c r="E35" s="327" t="s">
        <v>173</v>
      </c>
      <c r="F35" s="328"/>
      <c r="G35" s="103"/>
      <c r="H35" s="104"/>
    </row>
    <row r="36" spans="2:8" ht="82.5" customHeight="1">
      <c r="B36" s="101"/>
      <c r="C36" s="332" t="s">
        <v>175</v>
      </c>
      <c r="D36" s="333"/>
      <c r="E36" s="327" t="s">
        <v>174</v>
      </c>
      <c r="F36" s="328"/>
      <c r="G36" s="103"/>
      <c r="H36" s="104"/>
    </row>
    <row r="37" spans="2:8" ht="46.5" customHeight="1">
      <c r="B37" s="101"/>
      <c r="C37" s="332" t="s">
        <v>35</v>
      </c>
      <c r="D37" s="333"/>
      <c r="E37" s="327" t="s">
        <v>176</v>
      </c>
      <c r="F37" s="328"/>
      <c r="G37" s="103"/>
      <c r="H37" s="104"/>
    </row>
    <row r="38" spans="2:8" ht="6.75" customHeight="1" thickBot="1">
      <c r="B38" s="101"/>
      <c r="C38" s="334"/>
      <c r="D38" s="335"/>
      <c r="E38" s="336"/>
      <c r="F38" s="337"/>
      <c r="G38" s="103"/>
      <c r="H38" s="104"/>
    </row>
    <row r="39" spans="2:8" ht="6.75" customHeight="1" thickTop="1">
      <c r="B39" s="101"/>
      <c r="C39" s="102"/>
      <c r="D39" s="102"/>
      <c r="E39" s="139"/>
      <c r="F39" s="139"/>
      <c r="G39" s="103"/>
      <c r="H39" s="104"/>
    </row>
    <row r="40" spans="2:8">
      <c r="B40" s="329" t="s">
        <v>239</v>
      </c>
      <c r="C40" s="330"/>
      <c r="D40" s="330"/>
      <c r="E40" s="330"/>
      <c r="F40" s="330"/>
      <c r="G40" s="330"/>
      <c r="H40" s="331"/>
    </row>
    <row r="41" spans="2:8" ht="21" customHeight="1">
      <c r="B41" s="338" t="s">
        <v>234</v>
      </c>
      <c r="C41" s="339"/>
      <c r="D41" s="339"/>
      <c r="E41" s="339"/>
      <c r="F41" s="339"/>
      <c r="G41" s="339"/>
      <c r="H41" s="340"/>
    </row>
    <row r="42" spans="2:8" ht="20.25" customHeight="1">
      <c r="B42" s="329" t="s">
        <v>235</v>
      </c>
      <c r="C42" s="330"/>
      <c r="D42" s="330"/>
      <c r="E42" s="330"/>
      <c r="F42" s="330"/>
      <c r="G42" s="330"/>
      <c r="H42" s="331"/>
    </row>
    <row r="43" spans="2:8" ht="20.25" customHeight="1">
      <c r="B43" s="329" t="s">
        <v>236</v>
      </c>
      <c r="C43" s="330"/>
      <c r="D43" s="330"/>
      <c r="E43" s="330"/>
      <c r="F43" s="330"/>
      <c r="G43" s="330"/>
      <c r="H43" s="331"/>
    </row>
    <row r="44" spans="2:8" ht="20.25" customHeight="1">
      <c r="B44" s="329" t="s">
        <v>237</v>
      </c>
      <c r="C44" s="330"/>
      <c r="D44" s="330"/>
      <c r="E44" s="330"/>
      <c r="F44" s="330"/>
      <c r="G44" s="330"/>
      <c r="H44" s="331"/>
    </row>
    <row r="45" spans="2:8">
      <c r="B45" s="329" t="s">
        <v>238</v>
      </c>
      <c r="C45" s="330"/>
      <c r="D45" s="330"/>
      <c r="E45" s="330"/>
      <c r="F45" s="330"/>
      <c r="G45" s="330"/>
      <c r="H45" s="331"/>
    </row>
    <row r="46" spans="2:8" ht="15.75" thickBot="1">
      <c r="B46" s="105"/>
      <c r="C46" s="106"/>
      <c r="D46" s="106"/>
      <c r="E46" s="106"/>
      <c r="F46" s="106"/>
      <c r="G46" s="106"/>
      <c r="H46" s="107"/>
    </row>
  </sheetData>
  <sheetProtection algorithmName="SHA-512" hashValue="KIicaNCBFeoH6UF0kpO0g1dUYvgxM4GIAlQ04PA+1KFxZ/COv8aZ7WuFPhkBSIGQEetw/wnL5UUG31SBZnW/dg==" saltValue="T7lQfgymrnhOt1cjbdvnew==" spinCount="100000" sheet="1" objects="1" scenarios="1"/>
  <mergeCells count="65">
    <mergeCell ref="C15:D15"/>
    <mergeCell ref="E15:F15"/>
    <mergeCell ref="E22:F22"/>
    <mergeCell ref="C22:D22"/>
    <mergeCell ref="C25:D25"/>
    <mergeCell ref="E25:F25"/>
    <mergeCell ref="E28:F28"/>
    <mergeCell ref="C28:D28"/>
    <mergeCell ref="C33:D33"/>
    <mergeCell ref="B41:H41"/>
    <mergeCell ref="C29:D29"/>
    <mergeCell ref="E29:F29"/>
    <mergeCell ref="C30:D30"/>
    <mergeCell ref="E30:F30"/>
    <mergeCell ref="E33:F33"/>
    <mergeCell ref="C34:D34"/>
    <mergeCell ref="C35:D35"/>
    <mergeCell ref="E35:F35"/>
    <mergeCell ref="E36:F36"/>
    <mergeCell ref="E37:F37"/>
    <mergeCell ref="C37:D37"/>
    <mergeCell ref="B43:H43"/>
    <mergeCell ref="B42:H42"/>
    <mergeCell ref="C38:D38"/>
    <mergeCell ref="E38:F38"/>
    <mergeCell ref="B40:H40"/>
    <mergeCell ref="B44:H44"/>
    <mergeCell ref="B45:H45"/>
    <mergeCell ref="E23:F23"/>
    <mergeCell ref="C23:D23"/>
    <mergeCell ref="C24:D24"/>
    <mergeCell ref="E24:F24"/>
    <mergeCell ref="C26:D26"/>
    <mergeCell ref="E26:F26"/>
    <mergeCell ref="E34:F34"/>
    <mergeCell ref="C32:D32"/>
    <mergeCell ref="C31:D31"/>
    <mergeCell ref="E31:F31"/>
    <mergeCell ref="E32:F32"/>
    <mergeCell ref="C27:D27"/>
    <mergeCell ref="E27:F27"/>
    <mergeCell ref="C36:D36"/>
    <mergeCell ref="C13:D13"/>
    <mergeCell ref="E13:F13"/>
    <mergeCell ref="C17:D17"/>
    <mergeCell ref="E17:F17"/>
    <mergeCell ref="C21:D21"/>
    <mergeCell ref="C18:D18"/>
    <mergeCell ref="C19:D19"/>
    <mergeCell ref="C20:D20"/>
    <mergeCell ref="E18:F18"/>
    <mergeCell ref="E19:F19"/>
    <mergeCell ref="E20:F20"/>
    <mergeCell ref="E21:F21"/>
    <mergeCell ref="C16:D16"/>
    <mergeCell ref="E16:F16"/>
    <mergeCell ref="C14:D14"/>
    <mergeCell ref="E14:F14"/>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59"/>
  <sheetViews>
    <sheetView workbookViewId="0">
      <selection activeCell="O20" sqref="O20"/>
    </sheetView>
  </sheetViews>
  <sheetFormatPr baseColWidth="10" defaultRowHeight="15"/>
  <sheetData>
    <row r="2" spans="2:5">
      <c r="B2" t="s">
        <v>31</v>
      </c>
      <c r="E2" t="s">
        <v>124</v>
      </c>
    </row>
    <row r="3" spans="2:5">
      <c r="B3" t="s">
        <v>32</v>
      </c>
      <c r="E3" t="s">
        <v>123</v>
      </c>
    </row>
    <row r="4" spans="2:5">
      <c r="B4" t="s">
        <v>256</v>
      </c>
      <c r="E4" t="s">
        <v>125</v>
      </c>
    </row>
    <row r="5" spans="2:5">
      <c r="B5" t="s">
        <v>257</v>
      </c>
    </row>
    <row r="8" spans="2:5">
      <c r="B8" t="s">
        <v>82</v>
      </c>
    </row>
    <row r="9" spans="2:5">
      <c r="B9" t="s">
        <v>36</v>
      </c>
    </row>
    <row r="10" spans="2:5">
      <c r="B10" t="s">
        <v>37</v>
      </c>
    </row>
    <row r="13" spans="2:5">
      <c r="B13" t="s">
        <v>121</v>
      </c>
    </row>
    <row r="14" spans="2:5">
      <c r="B14" t="s">
        <v>115</v>
      </c>
    </row>
    <row r="15" spans="2:5">
      <c r="B15" t="s">
        <v>118</v>
      </c>
    </row>
    <row r="16" spans="2:5">
      <c r="B16" t="s">
        <v>116</v>
      </c>
    </row>
    <row r="17" spans="2:2">
      <c r="B17" t="s">
        <v>117</v>
      </c>
    </row>
    <row r="18" spans="2:2">
      <c r="B18" t="s">
        <v>119</v>
      </c>
    </row>
    <row r="19" spans="2:2">
      <c r="B19" t="s">
        <v>120</v>
      </c>
    </row>
    <row r="22" spans="2:2">
      <c r="B22" t="s">
        <v>203</v>
      </c>
    </row>
    <row r="23" spans="2:2">
      <c r="B23" t="s">
        <v>204</v>
      </c>
    </row>
    <row r="24" spans="2:2">
      <c r="B24" t="s">
        <v>205</v>
      </c>
    </row>
    <row r="25" spans="2:2">
      <c r="B25" t="s">
        <v>206</v>
      </c>
    </row>
    <row r="26" spans="2:2">
      <c r="B26" t="s">
        <v>207</v>
      </c>
    </row>
    <row r="27" spans="2:2">
      <c r="B27" t="s">
        <v>208</v>
      </c>
    </row>
    <row r="28" spans="2:2">
      <c r="B28" t="s">
        <v>209</v>
      </c>
    </row>
    <row r="29" spans="2:2">
      <c r="B29" t="s">
        <v>210</v>
      </c>
    </row>
    <row r="30" spans="2:2">
      <c r="B30" t="s">
        <v>211</v>
      </c>
    </row>
    <row r="31" spans="2:2">
      <c r="B31" t="s">
        <v>212</v>
      </c>
    </row>
    <row r="34" spans="2:2" ht="24">
      <c r="B34" s="140" t="s">
        <v>205</v>
      </c>
    </row>
    <row r="35" spans="2:2" ht="48">
      <c r="B35" s="136" t="s">
        <v>206</v>
      </c>
    </row>
    <row r="36" spans="2:2" ht="24">
      <c r="B36" s="136" t="s">
        <v>225</v>
      </c>
    </row>
    <row r="37" spans="2:2" ht="36">
      <c r="B37" s="136" t="s">
        <v>213</v>
      </c>
    </row>
    <row r="38" spans="2:2" ht="24">
      <c r="B38" s="136" t="s">
        <v>214</v>
      </c>
    </row>
    <row r="39" spans="2:2" ht="48">
      <c r="B39" s="136" t="s">
        <v>207</v>
      </c>
    </row>
    <row r="40" spans="2:2" ht="60">
      <c r="B40" s="136" t="s">
        <v>215</v>
      </c>
    </row>
    <row r="41" spans="2:2" ht="48">
      <c r="B41" s="136" t="s">
        <v>226</v>
      </c>
    </row>
    <row r="42" spans="2:2" ht="24">
      <c r="B42" s="136" t="s">
        <v>216</v>
      </c>
    </row>
    <row r="43" spans="2:2" ht="24">
      <c r="B43" s="136" t="s">
        <v>204</v>
      </c>
    </row>
    <row r="44" spans="2:2" ht="36">
      <c r="B44" s="136" t="s">
        <v>217</v>
      </c>
    </row>
    <row r="45" spans="2:2" ht="24">
      <c r="B45" s="136" t="s">
        <v>218</v>
      </c>
    </row>
    <row r="46" spans="2:2" ht="24">
      <c r="B46" s="136" t="s">
        <v>219</v>
      </c>
    </row>
    <row r="47" spans="2:2" ht="60">
      <c r="B47" s="136" t="s">
        <v>201</v>
      </c>
    </row>
    <row r="48" spans="2:2" ht="48">
      <c r="B48" s="136" t="s">
        <v>208</v>
      </c>
    </row>
    <row r="49" spans="2:2" ht="48">
      <c r="B49" s="136" t="s">
        <v>202</v>
      </c>
    </row>
    <row r="50" spans="2:2" ht="24">
      <c r="B50" s="136" t="s">
        <v>220</v>
      </c>
    </row>
    <row r="51" spans="2:2" ht="48">
      <c r="B51" s="136" t="s">
        <v>221</v>
      </c>
    </row>
    <row r="52" spans="2:2" ht="48">
      <c r="B52" s="136" t="s">
        <v>212</v>
      </c>
    </row>
    <row r="53" spans="2:2" ht="24">
      <c r="B53" s="136" t="s">
        <v>222</v>
      </c>
    </row>
    <row r="54" spans="2:2" ht="84">
      <c r="B54" s="136" t="s">
        <v>211</v>
      </c>
    </row>
    <row r="55" spans="2:2" ht="48">
      <c r="B55" s="136" t="s">
        <v>210</v>
      </c>
    </row>
    <row r="56" spans="2:2" ht="24">
      <c r="B56" s="141" t="s">
        <v>223</v>
      </c>
    </row>
    <row r="57" spans="2:2" ht="24.75" thickBot="1">
      <c r="B57" s="142" t="s">
        <v>224</v>
      </c>
    </row>
    <row r="58" spans="2:2" ht="24.75" thickBot="1">
      <c r="B58" s="142" t="s">
        <v>248</v>
      </c>
    </row>
    <row r="59" spans="2:2" ht="48">
      <c r="B59" s="148" t="s">
        <v>249</v>
      </c>
    </row>
  </sheetData>
  <sortState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21"/>
  <sheetViews>
    <sheetView topLeftCell="A40" workbookViewId="0">
      <selection activeCell="B3" sqref="B3"/>
    </sheetView>
  </sheetViews>
  <sheetFormatPr baseColWidth="10" defaultColWidth="11.42578125" defaultRowHeight="12.75"/>
  <cols>
    <col min="1" max="1" width="32.85546875" style="6" customWidth="1"/>
    <col min="2" max="16384" width="11.42578125" style="6"/>
  </cols>
  <sheetData>
    <row r="3" spans="1:1">
      <c r="A3" s="7" t="s">
        <v>14</v>
      </c>
    </row>
    <row r="4" spans="1:1">
      <c r="A4" s="7" t="s">
        <v>15</v>
      </c>
    </row>
    <row r="5" spans="1:1">
      <c r="A5" s="7" t="s">
        <v>16</v>
      </c>
    </row>
    <row r="6" spans="1:1">
      <c r="A6" s="7" t="s">
        <v>10</v>
      </c>
    </row>
    <row r="7" spans="1:1">
      <c r="A7" s="7" t="s">
        <v>9</v>
      </c>
    </row>
    <row r="8" spans="1:1">
      <c r="A8" s="7" t="s">
        <v>19</v>
      </c>
    </row>
    <row r="9" spans="1:1">
      <c r="A9" s="7" t="s">
        <v>20</v>
      </c>
    </row>
    <row r="10" spans="1:1">
      <c r="A10" s="7" t="s">
        <v>22</v>
      </c>
    </row>
    <row r="11" spans="1:1">
      <c r="A11" s="7" t="s">
        <v>23</v>
      </c>
    </row>
    <row r="12" spans="1:1">
      <c r="A12" s="7" t="s">
        <v>25</v>
      </c>
    </row>
    <row r="13" spans="1:1">
      <c r="A13" s="7" t="s">
        <v>26</v>
      </c>
    </row>
    <row r="14" spans="1:1">
      <c r="A14" s="7" t="s">
        <v>27</v>
      </c>
    </row>
    <row r="16" spans="1:1">
      <c r="A16" s="7" t="s">
        <v>30</v>
      </c>
    </row>
    <row r="17" spans="1:1">
      <c r="A17" s="7" t="s">
        <v>31</v>
      </c>
    </row>
    <row r="18" spans="1:1">
      <c r="A18" s="7" t="s">
        <v>32</v>
      </c>
    </row>
    <row r="20" spans="1:1">
      <c r="A20" s="7" t="s">
        <v>36</v>
      </c>
    </row>
    <row r="21" spans="1:1">
      <c r="A21" s="7"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FF00"/>
  </sheetPr>
  <dimension ref="A1:BR588"/>
  <sheetViews>
    <sheetView tabSelected="1" zoomScale="50" zoomScaleNormal="50" workbookViewId="0">
      <pane ySplit="12" topLeftCell="A523" activePane="bottomLeft" state="frozen"/>
      <selection activeCell="B12" sqref="B12"/>
      <selection pane="bottomLeft" activeCell="B526" sqref="B526:AM531"/>
    </sheetView>
  </sheetViews>
  <sheetFormatPr baseColWidth="10" defaultColWidth="11.42578125" defaultRowHeight="16.5"/>
  <cols>
    <col min="1" max="1" width="4" style="2" bestFit="1" customWidth="1"/>
    <col min="2" max="2" width="40.28515625" style="2" customWidth="1"/>
    <col min="3" max="3" width="16.28515625" style="2" customWidth="1"/>
    <col min="4" max="4" width="30.5703125" style="2" customWidth="1"/>
    <col min="5" max="5" width="31" style="2" customWidth="1"/>
    <col min="6" max="6" width="32.5703125" style="1" customWidth="1"/>
    <col min="7" max="7" width="25.140625" style="4" customWidth="1"/>
    <col min="8" max="8" width="17.85546875" style="1" customWidth="1"/>
    <col min="9" max="9" width="16.5703125" style="1" customWidth="1"/>
    <col min="10" max="10" width="6.28515625" style="1" bestFit="1" customWidth="1"/>
    <col min="11" max="11" width="48" style="1" customWidth="1"/>
    <col min="12" max="12" width="30.5703125" style="1" hidden="1" customWidth="1"/>
    <col min="13" max="13" width="17.5703125" style="1" customWidth="1"/>
    <col min="14" max="14" width="6.28515625" style="1" bestFit="1" customWidth="1"/>
    <col min="15" max="15" width="16" style="1" customWidth="1"/>
    <col min="16" max="16" width="5.85546875" style="1" customWidth="1"/>
    <col min="17" max="17" width="84.7109375" style="1" customWidth="1"/>
    <col min="18" max="18" width="15.140625" style="1" bestFit="1" customWidth="1"/>
    <col min="19" max="24" width="19" style="1" customWidth="1"/>
    <col min="25" max="25" width="21.42578125" style="1" customWidth="1"/>
    <col min="26" max="26" width="12.5703125" style="1" customWidth="1"/>
    <col min="27" max="27" width="10.42578125" style="1" customWidth="1"/>
    <col min="28" max="28" width="11.140625" style="1" customWidth="1"/>
    <col min="29" max="29" width="9.140625" style="1" customWidth="1"/>
    <col min="30" max="30" width="9.85546875" style="1" customWidth="1"/>
    <col min="31" max="31" width="13" style="1" customWidth="1"/>
    <col min="32" max="32" width="44.85546875" style="155" customWidth="1"/>
    <col min="33" max="36" width="18.85546875" style="155" customWidth="1"/>
    <col min="37" max="37" width="20.7109375" style="155" customWidth="1"/>
    <col min="38" max="38" width="21.7109375" style="155" customWidth="1"/>
    <col min="39" max="39" width="17.42578125" style="1" customWidth="1"/>
    <col min="40" max="40" width="17.140625" style="1" customWidth="1"/>
    <col min="41" max="16384" width="11.42578125" style="1"/>
  </cols>
  <sheetData>
    <row r="1" spans="1:70" s="137" customFormat="1" ht="15.75" customHeight="1">
      <c r="A1" s="396"/>
      <c r="B1" s="396"/>
      <c r="C1" s="397" t="s">
        <v>229</v>
      </c>
      <c r="D1" s="397"/>
      <c r="E1" s="397"/>
      <c r="F1" s="138" t="s">
        <v>230</v>
      </c>
      <c r="AF1" s="149"/>
      <c r="AG1" s="149"/>
      <c r="AH1" s="149"/>
      <c r="AI1" s="149"/>
      <c r="AJ1" s="149"/>
      <c r="AK1" s="149"/>
      <c r="AL1" s="149"/>
    </row>
    <row r="2" spans="1:70" s="137" customFormat="1" ht="15.75" customHeight="1">
      <c r="A2" s="396"/>
      <c r="B2" s="396"/>
      <c r="C2" s="397"/>
      <c r="D2" s="397"/>
      <c r="E2" s="397"/>
      <c r="F2" s="138" t="s">
        <v>255</v>
      </c>
      <c r="AF2" s="149"/>
      <c r="AG2" s="149"/>
      <c r="AH2" s="149"/>
      <c r="AI2" s="149"/>
      <c r="AJ2" s="149"/>
      <c r="AK2" s="149"/>
      <c r="AL2" s="149"/>
    </row>
    <row r="3" spans="1:70" s="137" customFormat="1" ht="15.75" customHeight="1">
      <c r="A3" s="396"/>
      <c r="B3" s="396"/>
      <c r="C3" s="397" t="s">
        <v>1312</v>
      </c>
      <c r="D3" s="397"/>
      <c r="E3" s="397"/>
      <c r="F3" s="385" t="s">
        <v>258</v>
      </c>
      <c r="AF3" s="149"/>
      <c r="AG3" s="149"/>
      <c r="AH3" s="149"/>
      <c r="AI3" s="149"/>
      <c r="AJ3" s="149"/>
      <c r="AK3" s="149"/>
      <c r="AL3" s="149"/>
    </row>
    <row r="4" spans="1:70" s="137" customFormat="1" ht="10.5" customHeight="1">
      <c r="A4" s="396"/>
      <c r="B4" s="396"/>
      <c r="C4" s="397"/>
      <c r="D4" s="397"/>
      <c r="E4" s="397"/>
      <c r="F4" s="385"/>
      <c r="AF4" s="149"/>
      <c r="AG4" s="149"/>
      <c r="AH4" s="149"/>
      <c r="AI4" s="149"/>
      <c r="AJ4" s="149"/>
      <c r="AK4" s="149"/>
      <c r="AL4" s="149"/>
    </row>
    <row r="5" spans="1:70" s="120" customFormat="1" ht="4.5" customHeight="1">
      <c r="A5" s="121"/>
      <c r="B5" s="121"/>
      <c r="C5" s="122"/>
      <c r="D5" s="121"/>
      <c r="E5" s="121"/>
      <c r="F5" s="119"/>
      <c r="G5" s="123"/>
      <c r="H5" s="119"/>
      <c r="I5" s="119"/>
      <c r="J5" s="119"/>
      <c r="K5" s="119"/>
      <c r="L5" s="119"/>
      <c r="M5" s="119"/>
      <c r="N5" s="119"/>
      <c r="O5" s="119"/>
      <c r="P5" s="119"/>
      <c r="Q5" s="119"/>
      <c r="R5" s="119"/>
      <c r="S5" s="119"/>
      <c r="T5" s="119"/>
      <c r="U5" s="119"/>
      <c r="V5" s="119"/>
      <c r="W5" s="119"/>
      <c r="X5" s="119"/>
      <c r="Y5" s="119"/>
      <c r="Z5" s="119"/>
      <c r="AA5" s="119"/>
      <c r="AB5" s="119"/>
      <c r="AC5" s="119"/>
      <c r="AD5" s="119"/>
      <c r="AE5" s="119"/>
      <c r="AF5" s="150"/>
      <c r="AG5" s="150"/>
      <c r="AH5" s="150"/>
      <c r="AI5" s="150"/>
      <c r="AJ5" s="150"/>
      <c r="AK5" s="150"/>
      <c r="AL5" s="150"/>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row>
    <row r="6" spans="1:70" s="145" customFormat="1" ht="9.75" customHeight="1">
      <c r="A6" s="386" t="s">
        <v>39</v>
      </c>
      <c r="B6" s="387"/>
      <c r="C6" s="388"/>
      <c r="D6" s="388"/>
      <c r="E6" s="388"/>
      <c r="F6" s="388"/>
      <c r="G6" s="388"/>
      <c r="H6" s="388"/>
      <c r="I6" s="388"/>
      <c r="J6" s="388"/>
      <c r="K6" s="388"/>
      <c r="L6" s="388"/>
      <c r="M6" s="388"/>
      <c r="N6" s="388"/>
      <c r="O6" s="389"/>
      <c r="P6" s="404"/>
      <c r="Q6" s="405"/>
      <c r="R6" s="405"/>
      <c r="S6" s="144"/>
      <c r="T6" s="144"/>
      <c r="U6" s="144"/>
      <c r="V6" s="144"/>
      <c r="W6" s="144"/>
      <c r="X6" s="144"/>
      <c r="Y6" s="144"/>
      <c r="Z6" s="144"/>
      <c r="AA6" s="144"/>
      <c r="AB6" s="144"/>
      <c r="AC6" s="144"/>
      <c r="AD6" s="144"/>
      <c r="AE6" s="144"/>
      <c r="AF6" s="151"/>
      <c r="AG6" s="151"/>
      <c r="AH6" s="151"/>
      <c r="AI6" s="151"/>
      <c r="AJ6" s="151"/>
      <c r="AK6" s="151"/>
      <c r="AL6" s="151"/>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row>
    <row r="7" spans="1:70" s="145" customFormat="1" ht="9" customHeight="1">
      <c r="A7" s="146" t="s">
        <v>122</v>
      </c>
      <c r="B7" s="147"/>
      <c r="C7" s="388"/>
      <c r="D7" s="388"/>
      <c r="E7" s="388"/>
      <c r="F7" s="388"/>
      <c r="G7" s="388"/>
      <c r="H7" s="388"/>
      <c r="I7" s="388"/>
      <c r="J7" s="388"/>
      <c r="K7" s="388"/>
      <c r="L7" s="388"/>
      <c r="M7" s="388"/>
      <c r="N7" s="388"/>
      <c r="O7" s="389"/>
      <c r="P7" s="144"/>
      <c r="Q7" s="144"/>
      <c r="R7" s="144"/>
      <c r="S7" s="144"/>
      <c r="T7" s="144"/>
      <c r="U7" s="144"/>
      <c r="V7" s="144"/>
      <c r="W7" s="144"/>
      <c r="X7" s="144"/>
      <c r="Y7" s="144"/>
      <c r="Z7" s="144"/>
      <c r="AA7" s="144"/>
      <c r="AB7" s="144"/>
      <c r="AC7" s="144"/>
      <c r="AD7" s="144"/>
      <c r="AE7" s="144"/>
      <c r="AF7" s="151"/>
      <c r="AG7" s="151"/>
      <c r="AH7" s="151"/>
      <c r="AI7" s="151"/>
      <c r="AJ7" s="151"/>
      <c r="AK7" s="151"/>
      <c r="AL7" s="151"/>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row>
    <row r="8" spans="1:70" s="145" customFormat="1" ht="12" customHeight="1">
      <c r="A8" s="146" t="s">
        <v>40</v>
      </c>
      <c r="B8" s="147"/>
      <c r="C8" s="388"/>
      <c r="D8" s="388"/>
      <c r="E8" s="388"/>
      <c r="F8" s="388"/>
      <c r="G8" s="388"/>
      <c r="H8" s="388"/>
      <c r="I8" s="388"/>
      <c r="J8" s="388"/>
      <c r="K8" s="388"/>
      <c r="L8" s="388"/>
      <c r="M8" s="388"/>
      <c r="N8" s="388"/>
      <c r="O8" s="389"/>
      <c r="P8" s="144"/>
      <c r="Q8" s="144"/>
      <c r="R8" s="144"/>
      <c r="S8" s="144"/>
      <c r="T8" s="144"/>
      <c r="U8" s="144"/>
      <c r="V8" s="144"/>
      <c r="W8" s="144"/>
      <c r="X8" s="144"/>
      <c r="Y8" s="144"/>
      <c r="Z8" s="144"/>
      <c r="AA8" s="144"/>
      <c r="AB8" s="144"/>
      <c r="AC8" s="144"/>
      <c r="AD8" s="144"/>
      <c r="AE8" s="144"/>
      <c r="AF8" s="151"/>
      <c r="AG8" s="151"/>
      <c r="AH8" s="151"/>
      <c r="AI8" s="151"/>
      <c r="AJ8" s="151"/>
      <c r="AK8" s="151"/>
      <c r="AL8" s="151"/>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row>
    <row r="9" spans="1:70" s="145" customFormat="1" ht="12" customHeight="1">
      <c r="A9" s="386" t="s">
        <v>250</v>
      </c>
      <c r="B9" s="387"/>
      <c r="C9" s="156"/>
      <c r="D9" s="156"/>
      <c r="E9" s="156"/>
      <c r="F9" s="156"/>
      <c r="G9" s="156"/>
      <c r="H9" s="156"/>
      <c r="I9" s="156"/>
      <c r="J9" s="156"/>
      <c r="K9" s="156"/>
      <c r="L9" s="156"/>
      <c r="M9" s="156"/>
      <c r="N9" s="156"/>
      <c r="O9" s="157"/>
      <c r="P9" s="144"/>
      <c r="Q9" s="144"/>
      <c r="R9" s="144"/>
      <c r="S9" s="144"/>
      <c r="T9" s="144"/>
      <c r="U9" s="144"/>
      <c r="V9" s="144"/>
      <c r="W9" s="144"/>
      <c r="X9" s="144"/>
      <c r="Y9" s="144"/>
      <c r="Z9" s="144"/>
      <c r="AA9" s="144"/>
      <c r="AB9" s="144"/>
      <c r="AC9" s="144"/>
      <c r="AD9" s="144"/>
      <c r="AE9" s="144"/>
      <c r="AF9" s="151"/>
      <c r="AG9" s="151"/>
      <c r="AH9" s="151"/>
      <c r="AI9" s="151"/>
      <c r="AJ9" s="151"/>
      <c r="AK9" s="151"/>
      <c r="AL9" s="151"/>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row>
    <row r="10" spans="1:70" ht="16.5" customHeight="1">
      <c r="A10" s="406" t="s">
        <v>128</v>
      </c>
      <c r="B10" s="407"/>
      <c r="C10" s="407"/>
      <c r="D10" s="407"/>
      <c r="E10" s="407"/>
      <c r="F10" s="407"/>
      <c r="G10" s="407"/>
      <c r="H10" s="408"/>
      <c r="I10" s="406" t="s">
        <v>129</v>
      </c>
      <c r="J10" s="407"/>
      <c r="K10" s="407"/>
      <c r="L10" s="407"/>
      <c r="M10" s="407"/>
      <c r="N10" s="407"/>
      <c r="O10" s="408"/>
      <c r="P10" s="406" t="s">
        <v>130</v>
      </c>
      <c r="Q10" s="407"/>
      <c r="R10" s="407"/>
      <c r="S10" s="407"/>
      <c r="T10" s="407"/>
      <c r="U10" s="407"/>
      <c r="V10" s="407"/>
      <c r="W10" s="407"/>
      <c r="X10" s="408"/>
      <c r="Y10" s="406" t="s">
        <v>131</v>
      </c>
      <c r="Z10" s="407"/>
      <c r="AA10" s="407"/>
      <c r="AB10" s="407"/>
      <c r="AC10" s="407"/>
      <c r="AD10" s="407"/>
      <c r="AE10" s="408"/>
      <c r="AF10" s="152"/>
      <c r="AG10" s="409" t="s">
        <v>240</v>
      </c>
      <c r="AH10" s="409"/>
      <c r="AI10" s="409"/>
      <c r="AJ10" s="409"/>
      <c r="AK10" s="409"/>
      <c r="AL10" s="409"/>
      <c r="AM10" s="409"/>
      <c r="AN10" s="409"/>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ht="13.5" customHeight="1">
      <c r="A11" s="391" t="s">
        <v>0</v>
      </c>
      <c r="B11" s="390" t="s">
        <v>177</v>
      </c>
      <c r="C11" s="390" t="s">
        <v>2</v>
      </c>
      <c r="D11" s="394" t="s">
        <v>3</v>
      </c>
      <c r="E11" s="394" t="s">
        <v>38</v>
      </c>
      <c r="F11" s="395" t="s">
        <v>1</v>
      </c>
      <c r="G11" s="393" t="s">
        <v>46</v>
      </c>
      <c r="H11" s="394" t="s">
        <v>126</v>
      </c>
      <c r="I11" s="400" t="s">
        <v>33</v>
      </c>
      <c r="J11" s="401" t="s">
        <v>5</v>
      </c>
      <c r="K11" s="393" t="s">
        <v>83</v>
      </c>
      <c r="L11" s="393" t="s">
        <v>88</v>
      </c>
      <c r="M11" s="403" t="s">
        <v>41</v>
      </c>
      <c r="N11" s="401" t="s">
        <v>5</v>
      </c>
      <c r="O11" s="394" t="s">
        <v>44</v>
      </c>
      <c r="P11" s="398" t="s">
        <v>11</v>
      </c>
      <c r="Q11" s="384" t="s">
        <v>149</v>
      </c>
      <c r="R11" s="393" t="s">
        <v>12</v>
      </c>
      <c r="S11" s="384" t="s">
        <v>8</v>
      </c>
      <c r="T11" s="384"/>
      <c r="U11" s="384"/>
      <c r="V11" s="384"/>
      <c r="W11" s="384"/>
      <c r="X11" s="384"/>
      <c r="Y11" s="384" t="s">
        <v>127</v>
      </c>
      <c r="Z11" s="384" t="s">
        <v>42</v>
      </c>
      <c r="AA11" s="384" t="s">
        <v>5</v>
      </c>
      <c r="AB11" s="384" t="s">
        <v>43</v>
      </c>
      <c r="AC11" s="384" t="s">
        <v>5</v>
      </c>
      <c r="AD11" s="384" t="s">
        <v>45</v>
      </c>
      <c r="AE11" s="393" t="s">
        <v>29</v>
      </c>
      <c r="AF11" s="393" t="s">
        <v>247</v>
      </c>
      <c r="AG11" s="384" t="s">
        <v>200</v>
      </c>
      <c r="AH11" s="393" t="s">
        <v>199</v>
      </c>
      <c r="AI11" s="393" t="s">
        <v>231</v>
      </c>
      <c r="AJ11" s="393" t="s">
        <v>232</v>
      </c>
      <c r="AK11" s="384" t="s">
        <v>34</v>
      </c>
      <c r="AL11" s="384" t="s">
        <v>228</v>
      </c>
      <c r="AM11" s="393" t="s">
        <v>246</v>
      </c>
      <c r="AN11" s="393" t="s">
        <v>227</v>
      </c>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s="3" customFormat="1" ht="16.5" customHeight="1">
      <c r="A12" s="392"/>
      <c r="B12" s="390"/>
      <c r="C12" s="390"/>
      <c r="D12" s="384"/>
      <c r="E12" s="384"/>
      <c r="F12" s="390"/>
      <c r="G12" s="394"/>
      <c r="H12" s="384"/>
      <c r="I12" s="394"/>
      <c r="J12" s="402"/>
      <c r="K12" s="394"/>
      <c r="L12" s="394"/>
      <c r="M12" s="402"/>
      <c r="N12" s="402"/>
      <c r="O12" s="384"/>
      <c r="P12" s="399"/>
      <c r="Q12" s="384"/>
      <c r="R12" s="394"/>
      <c r="S12" s="143" t="s">
        <v>13</v>
      </c>
      <c r="T12" s="143" t="s">
        <v>17</v>
      </c>
      <c r="U12" s="143" t="s">
        <v>28</v>
      </c>
      <c r="V12" s="143" t="s">
        <v>18</v>
      </c>
      <c r="W12" s="143" t="s">
        <v>21</v>
      </c>
      <c r="X12" s="143" t="s">
        <v>24</v>
      </c>
      <c r="Y12" s="384"/>
      <c r="Z12" s="384"/>
      <c r="AA12" s="384"/>
      <c r="AB12" s="384"/>
      <c r="AC12" s="384"/>
      <c r="AD12" s="384"/>
      <c r="AE12" s="394"/>
      <c r="AF12" s="394"/>
      <c r="AG12" s="384"/>
      <c r="AH12" s="394"/>
      <c r="AI12" s="394"/>
      <c r="AJ12" s="394"/>
      <c r="AK12" s="384"/>
      <c r="AL12" s="384"/>
      <c r="AM12" s="394"/>
      <c r="AN12" s="394"/>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row>
    <row r="13" spans="1:70" s="133" customFormat="1" ht="38.25" customHeight="1">
      <c r="A13" s="341">
        <v>1</v>
      </c>
      <c r="B13" s="344" t="s">
        <v>201</v>
      </c>
      <c r="C13" s="344" t="s">
        <v>123</v>
      </c>
      <c r="D13" s="344" t="s">
        <v>259</v>
      </c>
      <c r="E13" s="344" t="s">
        <v>260</v>
      </c>
      <c r="F13" s="347" t="s">
        <v>261</v>
      </c>
      <c r="G13" s="344" t="s">
        <v>115</v>
      </c>
      <c r="H13" s="350">
        <v>4</v>
      </c>
      <c r="I13" s="353" t="str">
        <f>IF(H13&lt;=0,"",IF(H13&lt;=2,"Muy Baja",IF(H13&lt;=24,"Baja",IF(H13&lt;=500,"Media",IF(H13&lt;=5000,"Alta","Muy Alta")))))</f>
        <v>Baja</v>
      </c>
      <c r="J13" s="356">
        <f>IF(I13="","",IF(I13="Muy Baja",0.2,IF(I13="Baja",0.4,IF(I13="Media",0.6,IF(I13="Alta",0.8,IF(I13="Muy Alta",1,))))))</f>
        <v>0.4</v>
      </c>
      <c r="K13" s="359" t="s">
        <v>143</v>
      </c>
      <c r="L13" s="356" t="str">
        <f ca="1">IF(NOT(ISERROR(MATCH(K13,'Tabla Impacto'!$B$221:$B$223,0))),'Tabla Impacto'!$F$223&amp;"Por favor no seleccionar los criterios de impacto(Afectación Económica o presupuestal y Pérdida Reputacional)",K13)</f>
        <v xml:space="preserve">     El riesgo afecta la imagen de de la entidad con efecto publicitario sostenido a nivel de sector administrativo, nivel departamental o municipal</v>
      </c>
      <c r="M13" s="353" t="str">
        <f ca="1">IF(OR(L13='Tabla Impacto'!$C$11,L13='Tabla Impacto'!$D$11),"Leve",IF(OR(L13='Tabla Impacto'!$C$12,L13='Tabla Impacto'!$D$12),"Menor",IF(OR(L13='Tabla Impacto'!$C$13,L13='Tabla Impacto'!$D$13),"Moderado",IF(OR(L13='Tabla Impacto'!$C$14,L13='Tabla Impacto'!$D$14),"Mayor",IF(OR(L13='Tabla Impacto'!$C$15,L13='Tabla Impacto'!$D$15),"Catastrófico","")))))</f>
        <v>Mayor</v>
      </c>
      <c r="N13" s="356">
        <f ca="1">IF(M13="","",IF(M13="Leve",0.2,IF(M13="Menor",0.4,IF(M13="Moderado",0.6,IF(M13="Mayor",0.8,IF(M13="Catastrófico",1,))))))</f>
        <v>0.8</v>
      </c>
      <c r="O13" s="362" t="str">
        <f ca="1">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Alto</v>
      </c>
      <c r="P13" s="124">
        <v>1</v>
      </c>
      <c r="Q13" s="117" t="s">
        <v>262</v>
      </c>
      <c r="R13" s="125" t="str">
        <f t="shared" ref="R13:R18" si="0">IF(OR(S13="Preventivo",S13="Detectivo"),"Probabilidad",IF(S13="Correctivo","Impacto",""))</f>
        <v>Probabilidad</v>
      </c>
      <c r="S13" s="126" t="s">
        <v>15</v>
      </c>
      <c r="T13" s="126" t="s">
        <v>9</v>
      </c>
      <c r="U13" s="127" t="str">
        <f>IF(AND(S13="Preventivo",T13="Automático"),"50%",IF(AND(S13="Preventivo",T13="Manual"),"40%",IF(AND(S13="Detectivo",T13="Automático"),"40%",IF(AND(S13="Detectivo",T13="Manual"),"30%",IF(AND(S13="Correctivo",T13="Automático"),"35%",IF(AND(S13="Correctivo",T13="Manual"),"25%",""))))))</f>
        <v>30%</v>
      </c>
      <c r="V13" s="126" t="s">
        <v>19</v>
      </c>
      <c r="W13" s="126" t="s">
        <v>22</v>
      </c>
      <c r="X13" s="126" t="s">
        <v>111</v>
      </c>
      <c r="Y13" s="128">
        <f>IFERROR(IF(R13="Probabilidad",(J13-(+J13*U13)),IF(R13="Impacto",J13,"")),"")</f>
        <v>0.28000000000000003</v>
      </c>
      <c r="Z13" s="129" t="str">
        <f>IFERROR(IF(Y13="","",IF(Y13&lt;=0.2,"Muy Baja",IF(Y13&lt;=0.4,"Baja",IF(Y13&lt;=0.6,"Media",IF(Y13&lt;=0.8,"Alta","Muy Alta"))))),"")</f>
        <v>Baja</v>
      </c>
      <c r="AA13" s="130">
        <f>+Y13</f>
        <v>0.28000000000000003</v>
      </c>
      <c r="AB13" s="129" t="str">
        <f ca="1">IFERROR(IF(AC13="","",IF(AC13&lt;=0.2,"Leve",IF(AC13&lt;=0.4,"Menor",IF(AC13&lt;=0.6,"Moderado",IF(AC13&lt;=0.8,"Mayor","Catastrófico"))))),"")</f>
        <v>Mayor</v>
      </c>
      <c r="AC13" s="130">
        <f ca="1">IFERROR(IF(R13="Impacto",(N13-(+N13*U13)),IF(R13="Probabilidad",N13,"")),"")</f>
        <v>0.8</v>
      </c>
      <c r="AD13" s="131" t="str">
        <f ca="1">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58" t="s">
        <v>257</v>
      </c>
      <c r="AF13" s="161" t="s">
        <v>323</v>
      </c>
      <c r="AG13" s="153" t="s">
        <v>266</v>
      </c>
      <c r="AH13" s="153" t="s">
        <v>267</v>
      </c>
      <c r="AI13" s="153" t="s">
        <v>268</v>
      </c>
      <c r="AJ13" s="153" t="s">
        <v>266</v>
      </c>
      <c r="AK13" s="154">
        <v>44701</v>
      </c>
      <c r="AL13" s="154">
        <v>44926</v>
      </c>
      <c r="AM13" s="350">
        <v>4132</v>
      </c>
      <c r="AN13" s="350"/>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row>
    <row r="14" spans="1:70" s="135" customFormat="1" ht="34.5" customHeight="1">
      <c r="A14" s="342"/>
      <c r="B14" s="345"/>
      <c r="C14" s="345"/>
      <c r="D14" s="345"/>
      <c r="E14" s="345"/>
      <c r="F14" s="348"/>
      <c r="G14" s="345"/>
      <c r="H14" s="351"/>
      <c r="I14" s="354"/>
      <c r="J14" s="357"/>
      <c r="K14" s="360"/>
      <c r="L14" s="357">
        <f ca="1">IF(NOT(ISERROR(MATCH(K14,_xlfn.ANCHORARRAY(F25),0))),J27&amp;"Por favor no seleccionar los criterios de impacto",K14)</f>
        <v>0</v>
      </c>
      <c r="M14" s="354"/>
      <c r="N14" s="357"/>
      <c r="O14" s="363"/>
      <c r="P14" s="124">
        <v>2</v>
      </c>
      <c r="Q14" s="117"/>
      <c r="R14" s="125" t="str">
        <f t="shared" si="0"/>
        <v/>
      </c>
      <c r="S14" s="126"/>
      <c r="T14" s="126"/>
      <c r="U14" s="127" t="str">
        <f t="shared" ref="U14:U18" si="1">IF(AND(S14="Preventivo",T14="Automático"),"50%",IF(AND(S14="Preventivo",T14="Manual"),"40%",IF(AND(S14="Detectivo",T14="Automático"),"40%",IF(AND(S14="Detectivo",T14="Manual"),"30%",IF(AND(S14="Correctivo",T14="Automático"),"35%",IF(AND(S14="Correctivo",T14="Manual"),"25%",""))))))</f>
        <v/>
      </c>
      <c r="V14" s="126"/>
      <c r="W14" s="126"/>
      <c r="X14" s="126"/>
      <c r="Y14" s="128" t="str">
        <f>IFERROR(IF(AND(R13="Probabilidad",R14="Probabilidad"),(AA13-(+AA13*U14)),IF(R14="Probabilidad",(J13-(+J13*U14)),IF(R14="Impacto",AA13,""))),"")</f>
        <v/>
      </c>
      <c r="Z14" s="129" t="str">
        <f t="shared" ref="Z14:Z18" si="2">IFERROR(IF(Y14="","",IF(Y14&lt;=0.2,"Muy Baja",IF(Y14&lt;=0.4,"Baja",IF(Y14&lt;=0.6,"Media",IF(Y14&lt;=0.8,"Alta","Muy Alta"))))),"")</f>
        <v/>
      </c>
      <c r="AA14" s="130" t="str">
        <f t="shared" ref="AA14:AA18" si="3">+Y14</f>
        <v/>
      </c>
      <c r="AB14" s="129" t="str">
        <f t="shared" ref="AB14:AB18" si="4">IFERROR(IF(AC14="","",IF(AC14&lt;=0.2,"Leve",IF(AC14&lt;=0.4,"Menor",IF(AC14&lt;=0.6,"Moderado",IF(AC14&lt;=0.8,"Mayor","Catastrófico"))))),"")</f>
        <v/>
      </c>
      <c r="AC14" s="130" t="str">
        <f>IFERROR(IF(AND(R13="Impacto",R14="Impacto"),(AC13-(+AC13*U14)),IF(R14="Impacto",(N13-(+N13*U14)),IF(R14="Probabilidad",AC13,""))),"")</f>
        <v/>
      </c>
      <c r="AD14" s="131" t="str">
        <f t="shared" ref="AD14:AD15" si="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58"/>
      <c r="AF14" s="159" t="s">
        <v>324</v>
      </c>
      <c r="AG14" s="175" t="s">
        <v>266</v>
      </c>
      <c r="AH14" s="175" t="s">
        <v>267</v>
      </c>
      <c r="AI14" s="175" t="s">
        <v>268</v>
      </c>
      <c r="AJ14" s="175" t="s">
        <v>266</v>
      </c>
      <c r="AK14" s="154">
        <v>44696</v>
      </c>
      <c r="AL14" s="176">
        <v>44926</v>
      </c>
      <c r="AM14" s="351"/>
      <c r="AN14" s="351"/>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row>
    <row r="15" spans="1:70" s="135" customFormat="1" ht="35.25" customHeight="1">
      <c r="A15" s="342"/>
      <c r="B15" s="345"/>
      <c r="C15" s="345"/>
      <c r="D15" s="345"/>
      <c r="E15" s="345"/>
      <c r="F15" s="348"/>
      <c r="G15" s="345"/>
      <c r="H15" s="351"/>
      <c r="I15" s="354"/>
      <c r="J15" s="357"/>
      <c r="K15" s="360"/>
      <c r="L15" s="357">
        <f ca="1">IF(NOT(ISERROR(MATCH(K15,_xlfn.ANCHORARRAY(F26),0))),J28&amp;"Por favor no seleccionar los criterios de impacto",K15)</f>
        <v>0</v>
      </c>
      <c r="M15" s="354"/>
      <c r="N15" s="357"/>
      <c r="O15" s="363"/>
      <c r="P15" s="124">
        <v>3</v>
      </c>
      <c r="Q15" s="117"/>
      <c r="R15" s="125" t="str">
        <f t="shared" si="0"/>
        <v/>
      </c>
      <c r="S15" s="126"/>
      <c r="T15" s="126"/>
      <c r="U15" s="127" t="str">
        <f t="shared" si="1"/>
        <v/>
      </c>
      <c r="V15" s="126"/>
      <c r="W15" s="126"/>
      <c r="X15" s="126"/>
      <c r="Y15" s="128" t="str">
        <f>IFERROR(IF(AND(R14="Probabilidad",R15="Probabilidad"),(AA14-(+AA14*U15)),IF(AND(R14="Impacto",R15="Probabilidad"),(AA13-(+AA13*U15)),IF(R15="Impacto",AA14,""))),"")</f>
        <v/>
      </c>
      <c r="Z15" s="129" t="str">
        <f t="shared" si="2"/>
        <v/>
      </c>
      <c r="AA15" s="130" t="str">
        <f t="shared" si="3"/>
        <v/>
      </c>
      <c r="AB15" s="129" t="str">
        <f t="shared" si="4"/>
        <v/>
      </c>
      <c r="AC15" s="130" t="str">
        <f>IFERROR(IF(AND(R14="Impacto",R15="Impacto"),(AC14-(+AC14*U15)),IF(AND(R14="Probabilidad",R15="Impacto"),(AC13-(+AC13*U15)),IF(R15="Probabilidad",AC14,""))),"")</f>
        <v/>
      </c>
      <c r="AD15" s="131" t="str">
        <f t="shared" si="5"/>
        <v/>
      </c>
      <c r="AE15" s="158"/>
      <c r="AF15" s="159"/>
      <c r="AG15" s="153"/>
      <c r="AH15" s="153"/>
      <c r="AI15" s="153"/>
      <c r="AJ15" s="153"/>
      <c r="AK15" s="154"/>
      <c r="AL15" s="154"/>
      <c r="AM15" s="351"/>
      <c r="AN15" s="351"/>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row>
    <row r="16" spans="1:70" s="135" customFormat="1" ht="43.5" customHeight="1">
      <c r="A16" s="342"/>
      <c r="B16" s="345"/>
      <c r="C16" s="345"/>
      <c r="D16" s="345"/>
      <c r="E16" s="345"/>
      <c r="F16" s="348"/>
      <c r="G16" s="345"/>
      <c r="H16" s="351"/>
      <c r="I16" s="354"/>
      <c r="J16" s="357"/>
      <c r="K16" s="360"/>
      <c r="L16" s="357">
        <f ca="1">IF(NOT(ISERROR(MATCH(K16,_xlfn.ANCHORARRAY(F27),0))),J29&amp;"Por favor no seleccionar los criterios de impacto",K16)</f>
        <v>0</v>
      </c>
      <c r="M16" s="354"/>
      <c r="N16" s="357"/>
      <c r="O16" s="363"/>
      <c r="P16" s="124">
        <v>4</v>
      </c>
      <c r="Q16" s="117"/>
      <c r="R16" s="125" t="str">
        <f t="shared" si="0"/>
        <v/>
      </c>
      <c r="S16" s="126"/>
      <c r="T16" s="126"/>
      <c r="U16" s="127" t="str">
        <f t="shared" si="1"/>
        <v/>
      </c>
      <c r="V16" s="126"/>
      <c r="W16" s="126"/>
      <c r="X16" s="126"/>
      <c r="Y16" s="128" t="str">
        <f t="shared" ref="Y16:Y18" si="6">IFERROR(IF(AND(R15="Probabilidad",R16="Probabilidad"),(AA15-(+AA15*U16)),IF(AND(R15="Impacto",R16="Probabilidad"),(AA14-(+AA14*U16)),IF(R16="Impacto",AA15,""))),"")</f>
        <v/>
      </c>
      <c r="Z16" s="129" t="str">
        <f t="shared" si="2"/>
        <v/>
      </c>
      <c r="AA16" s="130" t="str">
        <f t="shared" si="3"/>
        <v/>
      </c>
      <c r="AB16" s="129" t="str">
        <f t="shared" si="4"/>
        <v/>
      </c>
      <c r="AC16" s="130" t="str">
        <f t="shared" ref="AC16:AC18" si="7">IFERROR(IF(AND(R15="Impacto",R16="Impacto"),(AC15-(+AC15*U16)),IF(AND(R15="Probabilidad",R16="Impacto"),(AC14-(+AC14*U16)),IF(R16="Probabilidad",AC15,""))),"")</f>
        <v/>
      </c>
      <c r="AD16" s="131"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58"/>
      <c r="AF16" s="159"/>
      <c r="AG16" s="153"/>
      <c r="AH16" s="153"/>
      <c r="AI16" s="153"/>
      <c r="AJ16" s="153"/>
      <c r="AK16" s="154"/>
      <c r="AL16" s="154"/>
      <c r="AM16" s="351"/>
      <c r="AN16" s="351"/>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row>
    <row r="17" spans="1:70" s="135" customFormat="1" ht="43.5" customHeight="1">
      <c r="A17" s="342"/>
      <c r="B17" s="345"/>
      <c r="C17" s="345"/>
      <c r="D17" s="345"/>
      <c r="E17" s="345"/>
      <c r="F17" s="348"/>
      <c r="G17" s="345"/>
      <c r="H17" s="351"/>
      <c r="I17" s="354"/>
      <c r="J17" s="357"/>
      <c r="K17" s="360"/>
      <c r="L17" s="357">
        <f ca="1">IF(NOT(ISERROR(MATCH(K17,_xlfn.ANCHORARRAY(F28),0))),J30&amp;"Por favor no seleccionar los criterios de impacto",K17)</f>
        <v>0</v>
      </c>
      <c r="M17" s="354"/>
      <c r="N17" s="357"/>
      <c r="O17" s="363"/>
      <c r="P17" s="124">
        <v>5</v>
      </c>
      <c r="Q17" s="117"/>
      <c r="R17" s="125" t="str">
        <f t="shared" si="0"/>
        <v/>
      </c>
      <c r="S17" s="126"/>
      <c r="T17" s="126"/>
      <c r="U17" s="127" t="str">
        <f t="shared" si="1"/>
        <v/>
      </c>
      <c r="V17" s="126"/>
      <c r="W17" s="126"/>
      <c r="X17" s="126"/>
      <c r="Y17" s="128" t="str">
        <f t="shared" si="6"/>
        <v/>
      </c>
      <c r="Z17" s="129" t="str">
        <f t="shared" si="2"/>
        <v/>
      </c>
      <c r="AA17" s="130" t="str">
        <f t="shared" si="3"/>
        <v/>
      </c>
      <c r="AB17" s="129" t="str">
        <f t="shared" si="4"/>
        <v/>
      </c>
      <c r="AC17" s="130" t="str">
        <f t="shared" si="7"/>
        <v/>
      </c>
      <c r="AD17" s="131" t="str">
        <f t="shared" ref="AD17:AD18" si="8">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58"/>
      <c r="AF17" s="159"/>
      <c r="AG17" s="153"/>
      <c r="AH17" s="153"/>
      <c r="AI17" s="153"/>
      <c r="AJ17" s="153"/>
      <c r="AK17" s="154"/>
      <c r="AL17" s="154"/>
      <c r="AM17" s="351"/>
      <c r="AN17" s="351"/>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row>
    <row r="18" spans="1:70" s="135" customFormat="1" ht="43.5" customHeight="1">
      <c r="A18" s="343"/>
      <c r="B18" s="346"/>
      <c r="C18" s="346"/>
      <c r="D18" s="346"/>
      <c r="E18" s="346"/>
      <c r="F18" s="349"/>
      <c r="G18" s="346"/>
      <c r="H18" s="352"/>
      <c r="I18" s="355"/>
      <c r="J18" s="358"/>
      <c r="K18" s="361"/>
      <c r="L18" s="358">
        <f ca="1">IF(NOT(ISERROR(MATCH(K18,_xlfn.ANCHORARRAY(F29),0))),J31&amp;"Por favor no seleccionar los criterios de impacto",K18)</f>
        <v>0</v>
      </c>
      <c r="M18" s="355"/>
      <c r="N18" s="358"/>
      <c r="O18" s="364"/>
      <c r="P18" s="124">
        <v>6</v>
      </c>
      <c r="Q18" s="117"/>
      <c r="R18" s="125" t="str">
        <f t="shared" si="0"/>
        <v/>
      </c>
      <c r="S18" s="126"/>
      <c r="T18" s="126"/>
      <c r="U18" s="127" t="str">
        <f t="shared" si="1"/>
        <v/>
      </c>
      <c r="V18" s="126"/>
      <c r="W18" s="126"/>
      <c r="X18" s="126"/>
      <c r="Y18" s="128" t="str">
        <f t="shared" si="6"/>
        <v/>
      </c>
      <c r="Z18" s="129" t="str">
        <f t="shared" si="2"/>
        <v/>
      </c>
      <c r="AA18" s="130" t="str">
        <f t="shared" si="3"/>
        <v/>
      </c>
      <c r="AB18" s="129" t="str">
        <f t="shared" si="4"/>
        <v/>
      </c>
      <c r="AC18" s="130" t="str">
        <f t="shared" si="7"/>
        <v/>
      </c>
      <c r="AD18" s="131" t="str">
        <f t="shared" si="8"/>
        <v/>
      </c>
      <c r="AE18" s="158"/>
      <c r="AF18" s="159"/>
      <c r="AG18" s="153"/>
      <c r="AH18" s="153"/>
      <c r="AI18" s="153"/>
      <c r="AJ18" s="153"/>
      <c r="AK18" s="154"/>
      <c r="AL18" s="154"/>
      <c r="AM18" s="352"/>
      <c r="AN18" s="352"/>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row>
    <row r="19" spans="1:70" s="135" customFormat="1" ht="43.5" customHeight="1">
      <c r="A19" s="341">
        <v>2</v>
      </c>
      <c r="B19" s="344" t="s">
        <v>201</v>
      </c>
      <c r="C19" s="344" t="s">
        <v>123</v>
      </c>
      <c r="D19" s="344" t="s">
        <v>263</v>
      </c>
      <c r="E19" s="344" t="s">
        <v>264</v>
      </c>
      <c r="F19" s="347" t="s">
        <v>265</v>
      </c>
      <c r="G19" s="344" t="s">
        <v>115</v>
      </c>
      <c r="H19" s="350">
        <v>4</v>
      </c>
      <c r="I19" s="353" t="str">
        <f>IF(H19&lt;=0,"",IF(H19&lt;=2,"Muy Baja",IF(H19&lt;=24,"Baja",IF(H19&lt;=500,"Media",IF(H19&lt;=5000,"Alta","Muy Alta")))))</f>
        <v>Baja</v>
      </c>
      <c r="J19" s="356">
        <f>IF(I19="","",IF(I19="Muy Baja",0.2,IF(I19="Baja",0.4,IF(I19="Media",0.6,IF(I19="Alta",0.8,IF(I19="Muy Alta",1,))))))</f>
        <v>0.4</v>
      </c>
      <c r="K19" s="359" t="s">
        <v>143</v>
      </c>
      <c r="L19" s="356" t="str">
        <f ca="1">IF(NOT(ISERROR(MATCH(K19,'Tabla Impacto'!$B$221:$B$223,0))),'Tabla Impacto'!$F$223&amp;"Por favor no seleccionar los criterios de impacto(Afectación Económica o presupuestal y Pérdida Reputacional)",K19)</f>
        <v xml:space="preserve">     El riesgo afecta la imagen de de la entidad con efecto publicitario sostenido a nivel de sector administrativo, nivel departamental o municipal</v>
      </c>
      <c r="M19" s="353" t="str">
        <f ca="1">IF(OR(L19='Tabla Impacto'!$C$11,L19='Tabla Impacto'!$D$11),"Leve",IF(OR(L19='Tabla Impacto'!$C$12,L19='Tabla Impacto'!$D$12),"Menor",IF(OR(L19='Tabla Impacto'!$C$13,L19='Tabla Impacto'!$D$13),"Moderado",IF(OR(L19='Tabla Impacto'!$C$14,L19='Tabla Impacto'!$D$14),"Mayor",IF(OR(L19='Tabla Impacto'!$C$15,L19='Tabla Impacto'!$D$15),"Catastrófico","")))))</f>
        <v>Mayor</v>
      </c>
      <c r="N19" s="356">
        <f ca="1">IF(M19="","",IF(M19="Leve",0.2,IF(M19="Menor",0.4,IF(M19="Moderado",0.6,IF(M19="Mayor",0.8,IF(M19="Catastrófico",1,))))))</f>
        <v>0.8</v>
      </c>
      <c r="O19" s="362" t="str">
        <f ca="1">IF(OR(AND(I19="Muy Baja",M19="Leve"),AND(I19="Muy Baja",M19="Menor"),AND(I19="Baja",M19="Leve")),"Bajo",IF(OR(AND(I19="Muy baja",M19="Moderado"),AND(I19="Baja",M19="Menor"),AND(I19="Baja",M19="Moderado"),AND(I19="Media",M19="Leve"),AND(I19="Media",M19="Menor"),AND(I19="Media",M19="Moderado"),AND(I19="Alta",M19="Leve"),AND(I19="Alta",M19="Menor")),"Moderado",IF(OR(AND(I19="Muy Baja",M19="Mayor"),AND(I19="Baja",M19="Mayor"),AND(I19="Media",M19="Mayor"),AND(I19="Alta",M19="Moderado"),AND(I19="Alta",M19="Mayor"),AND(I19="Muy Alta",M19="Leve"),AND(I19="Muy Alta",M19="Menor"),AND(I19="Muy Alta",M19="Moderado"),AND(I19="Muy Alta",M19="Mayor")),"Alto",IF(OR(AND(I19="Muy Baja",M19="Catastrófico"),AND(I19="Baja",M19="Catastrófico"),AND(I19="Media",M19="Catastrófico"),AND(I19="Alta",M19="Catastrófico"),AND(I19="Muy Alta",M19="Catastrófico")),"Extremo",""))))</f>
        <v>Alto</v>
      </c>
      <c r="P19" s="124">
        <v>1</v>
      </c>
      <c r="Q19" s="117" t="s">
        <v>318</v>
      </c>
      <c r="R19" s="125" t="str">
        <f t="shared" ref="R19:R24" si="9">IF(OR(S19="Preventivo",S19="Detectivo"),"Probabilidad",IF(S19="Correctivo","Impacto",""))</f>
        <v>Probabilidad</v>
      </c>
      <c r="S19" s="126" t="s">
        <v>14</v>
      </c>
      <c r="T19" s="126" t="s">
        <v>9</v>
      </c>
      <c r="U19" s="127" t="str">
        <f>IF(AND(S19="Preventivo",T19="Automático"),"50%",IF(AND(S19="Preventivo",T19="Manual"),"40%",IF(AND(S19="Detectivo",T19="Automático"),"40%",IF(AND(S19="Detectivo",T19="Manual"),"30%",IF(AND(S19="Correctivo",T19="Automático"),"35%",IF(AND(S19="Correctivo",T19="Manual"),"25%",""))))))</f>
        <v>40%</v>
      </c>
      <c r="V19" s="126" t="s">
        <v>19</v>
      </c>
      <c r="W19" s="126" t="s">
        <v>23</v>
      </c>
      <c r="X19" s="126" t="s">
        <v>111</v>
      </c>
      <c r="Y19" s="128">
        <f>IFERROR(IF(R19="Probabilidad",(J19-(+J19*U19)),IF(R19="Impacto",J19,"")),"")</f>
        <v>0.24</v>
      </c>
      <c r="Z19" s="129" t="str">
        <f>IFERROR(IF(Y19="","",IF(Y19&lt;=0.2,"Muy Baja",IF(Y19&lt;=0.4,"Baja",IF(Y19&lt;=0.6,"Media",IF(Y19&lt;=0.8,"Alta","Muy Alta"))))),"")</f>
        <v>Baja</v>
      </c>
      <c r="AA19" s="130">
        <f>+Y19</f>
        <v>0.24</v>
      </c>
      <c r="AB19" s="129" t="str">
        <f ca="1">IFERROR(IF(AC19="","",IF(AC19&lt;=0.2,"Leve",IF(AC19&lt;=0.4,"Menor",IF(AC19&lt;=0.6,"Moderado",IF(AC19&lt;=0.8,"Mayor","Catastrófico"))))),"")</f>
        <v>Mayor</v>
      </c>
      <c r="AC19" s="130">
        <f ca="1">IFERROR(IF(R19="Impacto",(N19-(+N19*U19)),IF(R19="Probabilidad",N19,"")),"")</f>
        <v>0.8</v>
      </c>
      <c r="AD19" s="131" t="str">
        <f ca="1">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58" t="s">
        <v>257</v>
      </c>
      <c r="AF19" s="160" t="s">
        <v>325</v>
      </c>
      <c r="AG19" s="153" t="s">
        <v>266</v>
      </c>
      <c r="AH19" s="153" t="s">
        <v>267</v>
      </c>
      <c r="AI19" s="153" t="s">
        <v>268</v>
      </c>
      <c r="AJ19" s="153" t="s">
        <v>266</v>
      </c>
      <c r="AK19" s="154">
        <v>44681</v>
      </c>
      <c r="AL19" s="154">
        <v>44926</v>
      </c>
      <c r="AM19" s="350">
        <v>4133</v>
      </c>
      <c r="AN19" s="350"/>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row>
    <row r="20" spans="1:70" s="135" customFormat="1" ht="43.5" customHeight="1">
      <c r="A20" s="342"/>
      <c r="B20" s="345"/>
      <c r="C20" s="345"/>
      <c r="D20" s="345"/>
      <c r="E20" s="345"/>
      <c r="F20" s="348"/>
      <c r="G20" s="345"/>
      <c r="H20" s="351"/>
      <c r="I20" s="354"/>
      <c r="J20" s="357"/>
      <c r="K20" s="360"/>
      <c r="L20" s="357">
        <f ca="1">IF(NOT(ISERROR(MATCH(K20,_xlfn.ANCHORARRAY(F31),0))),J33&amp;"Por favor no seleccionar los criterios de impacto",K20)</f>
        <v>0</v>
      </c>
      <c r="M20" s="354"/>
      <c r="N20" s="357"/>
      <c r="O20" s="363"/>
      <c r="P20" s="124">
        <v>2</v>
      </c>
      <c r="Q20" s="117" t="s">
        <v>317</v>
      </c>
      <c r="R20" s="125" t="str">
        <f t="shared" si="9"/>
        <v>Probabilidad</v>
      </c>
      <c r="S20" s="126" t="s">
        <v>14</v>
      </c>
      <c r="T20" s="126" t="s">
        <v>9</v>
      </c>
      <c r="U20" s="127" t="str">
        <f t="shared" ref="U20:U24" si="10">IF(AND(S20="Preventivo",T20="Automático"),"50%",IF(AND(S20="Preventivo",T20="Manual"),"40%",IF(AND(S20="Detectivo",T20="Automático"),"40%",IF(AND(S20="Detectivo",T20="Manual"),"30%",IF(AND(S20="Correctivo",T20="Automático"),"35%",IF(AND(S20="Correctivo",T20="Manual"),"25%",""))))))</f>
        <v>40%</v>
      </c>
      <c r="V20" s="126" t="s">
        <v>19</v>
      </c>
      <c r="W20" s="126" t="s">
        <v>23</v>
      </c>
      <c r="X20" s="126" t="s">
        <v>111</v>
      </c>
      <c r="Y20" s="128">
        <f>IFERROR(IF(AND(R19="Probabilidad",R20="Probabilidad"),(AA19-(+AA19*U20)),IF(R20="Probabilidad",(J19-(+J19*U20)),IF(R20="Impacto",AA19,""))),"")</f>
        <v>0.14399999999999999</v>
      </c>
      <c r="Z20" s="129" t="str">
        <f t="shared" ref="Z20:Z24" si="11">IFERROR(IF(Y20="","",IF(Y20&lt;=0.2,"Muy Baja",IF(Y20&lt;=0.4,"Baja",IF(Y20&lt;=0.6,"Media",IF(Y20&lt;=0.8,"Alta","Muy Alta"))))),"")</f>
        <v>Muy Baja</v>
      </c>
      <c r="AA20" s="130">
        <f t="shared" ref="AA20:AA24" si="12">+Y20</f>
        <v>0.14399999999999999</v>
      </c>
      <c r="AB20" s="129" t="str">
        <f t="shared" ref="AB20:AB24" ca="1" si="13">IFERROR(IF(AC20="","",IF(AC20&lt;=0.2,"Leve",IF(AC20&lt;=0.4,"Menor",IF(AC20&lt;=0.6,"Moderado",IF(AC20&lt;=0.8,"Mayor","Catastrófico"))))),"")</f>
        <v>Mayor</v>
      </c>
      <c r="AC20" s="130">
        <f ca="1">IFERROR(IF(AND(R19="Impacto",R20="Impacto"),(AC19-(+AC19*U20)),IF(R20="Impacto",(N19-(+N19*U20)),IF(R20="Probabilidad",AC19,""))),"")</f>
        <v>0.8</v>
      </c>
      <c r="AD20" s="131" t="str">
        <f t="shared" ref="AD20:AD21" ca="1" si="1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58" t="s">
        <v>257</v>
      </c>
      <c r="AF20" s="160" t="s">
        <v>326</v>
      </c>
      <c r="AG20" s="153" t="s">
        <v>266</v>
      </c>
      <c r="AH20" s="153" t="s">
        <v>267</v>
      </c>
      <c r="AI20" s="153" t="s">
        <v>268</v>
      </c>
      <c r="AJ20" s="153" t="s">
        <v>266</v>
      </c>
      <c r="AK20" s="154">
        <v>44701</v>
      </c>
      <c r="AL20" s="154">
        <v>44926</v>
      </c>
      <c r="AM20" s="351"/>
      <c r="AN20" s="351"/>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row>
    <row r="21" spans="1:70" s="135" customFormat="1" ht="43.5" customHeight="1">
      <c r="A21" s="342"/>
      <c r="B21" s="345"/>
      <c r="C21" s="345"/>
      <c r="D21" s="345"/>
      <c r="E21" s="345"/>
      <c r="F21" s="348"/>
      <c r="G21" s="345"/>
      <c r="H21" s="351"/>
      <c r="I21" s="354"/>
      <c r="J21" s="357"/>
      <c r="K21" s="360"/>
      <c r="L21" s="357">
        <f ca="1">IF(NOT(ISERROR(MATCH(K21,_xlfn.ANCHORARRAY(F32),0))),J34&amp;"Por favor no seleccionar los criterios de impacto",K21)</f>
        <v>0</v>
      </c>
      <c r="M21" s="354"/>
      <c r="N21" s="357"/>
      <c r="O21" s="363"/>
      <c r="P21" s="124">
        <v>3</v>
      </c>
      <c r="Q21" s="118"/>
      <c r="R21" s="125" t="str">
        <f t="shared" si="9"/>
        <v/>
      </c>
      <c r="S21" s="126"/>
      <c r="T21" s="126"/>
      <c r="U21" s="127" t="str">
        <f t="shared" si="10"/>
        <v/>
      </c>
      <c r="V21" s="126"/>
      <c r="W21" s="126"/>
      <c r="X21" s="126"/>
      <c r="Y21" s="128" t="str">
        <f>IFERROR(IF(AND(R20="Probabilidad",R21="Probabilidad"),(AA20-(+AA20*U21)),IF(AND(R20="Impacto",R21="Probabilidad"),(AA19-(+AA19*U21)),IF(R21="Impacto",AA20,""))),"")</f>
        <v/>
      </c>
      <c r="Z21" s="129" t="str">
        <f t="shared" si="11"/>
        <v/>
      </c>
      <c r="AA21" s="130" t="str">
        <f t="shared" si="12"/>
        <v/>
      </c>
      <c r="AB21" s="129" t="str">
        <f t="shared" si="13"/>
        <v/>
      </c>
      <c r="AC21" s="130" t="str">
        <f>IFERROR(IF(AND(R20="Impacto",R21="Impacto"),(AC20-(+AC20*U21)),IF(AND(R20="Probabilidad",R21="Impacto"),(AC19-(+AC19*U21)),IF(R21="Probabilidad",AC20,""))),"")</f>
        <v/>
      </c>
      <c r="AD21" s="131" t="str">
        <f t="shared" si="14"/>
        <v/>
      </c>
      <c r="AE21" s="158"/>
      <c r="AF21" s="159"/>
      <c r="AG21" s="153"/>
      <c r="AH21" s="153"/>
      <c r="AI21" s="153"/>
      <c r="AJ21" s="153"/>
      <c r="AK21" s="154"/>
      <c r="AL21" s="154"/>
      <c r="AM21" s="351"/>
      <c r="AN21" s="351"/>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row>
    <row r="22" spans="1:70" s="135" customFormat="1" ht="43.5" customHeight="1">
      <c r="A22" s="342"/>
      <c r="B22" s="345"/>
      <c r="C22" s="345"/>
      <c r="D22" s="345"/>
      <c r="E22" s="345"/>
      <c r="F22" s="348"/>
      <c r="G22" s="345"/>
      <c r="H22" s="351"/>
      <c r="I22" s="354"/>
      <c r="J22" s="357"/>
      <c r="K22" s="360"/>
      <c r="L22" s="357">
        <f ca="1">IF(NOT(ISERROR(MATCH(K22,_xlfn.ANCHORARRAY(F33),0))),J35&amp;"Por favor no seleccionar los criterios de impacto",K22)</f>
        <v>0</v>
      </c>
      <c r="M22" s="354"/>
      <c r="N22" s="357"/>
      <c r="O22" s="363"/>
      <c r="P22" s="124">
        <v>4</v>
      </c>
      <c r="Q22" s="117"/>
      <c r="R22" s="125" t="str">
        <f t="shared" si="9"/>
        <v/>
      </c>
      <c r="S22" s="126"/>
      <c r="T22" s="126"/>
      <c r="U22" s="127" t="str">
        <f t="shared" si="10"/>
        <v/>
      </c>
      <c r="V22" s="126"/>
      <c r="W22" s="126"/>
      <c r="X22" s="126"/>
      <c r="Y22" s="128" t="str">
        <f t="shared" ref="Y22:Y24" si="15">IFERROR(IF(AND(R21="Probabilidad",R22="Probabilidad"),(AA21-(+AA21*U22)),IF(AND(R21="Impacto",R22="Probabilidad"),(AA20-(+AA20*U22)),IF(R22="Impacto",AA21,""))),"")</f>
        <v/>
      </c>
      <c r="Z22" s="129" t="str">
        <f t="shared" si="11"/>
        <v/>
      </c>
      <c r="AA22" s="130" t="str">
        <f t="shared" si="12"/>
        <v/>
      </c>
      <c r="AB22" s="129" t="str">
        <f t="shared" si="13"/>
        <v/>
      </c>
      <c r="AC22" s="130" t="str">
        <f t="shared" ref="AC22:AC24" si="16">IFERROR(IF(AND(R21="Impacto",R22="Impacto"),(AC21-(+AC21*U22)),IF(AND(R21="Probabilidad",R22="Impacto"),(AC20-(+AC20*U22)),IF(R22="Probabilidad",AC21,""))),"")</f>
        <v/>
      </c>
      <c r="AD22" s="131"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58"/>
      <c r="AF22" s="159"/>
      <c r="AG22" s="153"/>
      <c r="AH22" s="153"/>
      <c r="AI22" s="153"/>
      <c r="AJ22" s="153"/>
      <c r="AK22" s="154"/>
      <c r="AL22" s="154"/>
      <c r="AM22" s="351"/>
      <c r="AN22" s="351"/>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row>
    <row r="23" spans="1:70" s="135" customFormat="1" ht="43.5" customHeight="1">
      <c r="A23" s="342"/>
      <c r="B23" s="345"/>
      <c r="C23" s="345"/>
      <c r="D23" s="345"/>
      <c r="E23" s="345"/>
      <c r="F23" s="348"/>
      <c r="G23" s="345"/>
      <c r="H23" s="351"/>
      <c r="I23" s="354"/>
      <c r="J23" s="357"/>
      <c r="K23" s="360"/>
      <c r="L23" s="357">
        <f ca="1">IF(NOT(ISERROR(MATCH(K23,_xlfn.ANCHORARRAY(F34),0))),J36&amp;"Por favor no seleccionar los criterios de impacto",K23)</f>
        <v>0</v>
      </c>
      <c r="M23" s="354"/>
      <c r="N23" s="357"/>
      <c r="O23" s="363"/>
      <c r="P23" s="124">
        <v>5</v>
      </c>
      <c r="Q23" s="117"/>
      <c r="R23" s="125" t="str">
        <f t="shared" si="9"/>
        <v/>
      </c>
      <c r="S23" s="126"/>
      <c r="T23" s="126"/>
      <c r="U23" s="127" t="str">
        <f t="shared" si="10"/>
        <v/>
      </c>
      <c r="V23" s="126"/>
      <c r="W23" s="126"/>
      <c r="X23" s="126"/>
      <c r="Y23" s="128" t="str">
        <f t="shared" si="15"/>
        <v/>
      </c>
      <c r="Z23" s="129" t="str">
        <f t="shared" si="11"/>
        <v/>
      </c>
      <c r="AA23" s="130" t="str">
        <f t="shared" si="12"/>
        <v/>
      </c>
      <c r="AB23" s="129" t="str">
        <f t="shared" si="13"/>
        <v/>
      </c>
      <c r="AC23" s="130" t="str">
        <f t="shared" si="16"/>
        <v/>
      </c>
      <c r="AD23" s="131" t="str">
        <f t="shared" ref="AD23:AD24" si="17">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58"/>
      <c r="AF23" s="159"/>
      <c r="AG23" s="153"/>
      <c r="AH23" s="153"/>
      <c r="AI23" s="153"/>
      <c r="AJ23" s="153"/>
      <c r="AK23" s="154"/>
      <c r="AL23" s="154"/>
      <c r="AM23" s="351"/>
      <c r="AN23" s="351"/>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row>
    <row r="24" spans="1:70" s="135" customFormat="1" ht="43.5" customHeight="1">
      <c r="A24" s="343"/>
      <c r="B24" s="346"/>
      <c r="C24" s="346"/>
      <c r="D24" s="346"/>
      <c r="E24" s="346"/>
      <c r="F24" s="349"/>
      <c r="G24" s="346"/>
      <c r="H24" s="352"/>
      <c r="I24" s="355"/>
      <c r="J24" s="358"/>
      <c r="K24" s="361"/>
      <c r="L24" s="358">
        <f ca="1">IF(NOT(ISERROR(MATCH(K24,_xlfn.ANCHORARRAY(F35),0))),J37&amp;"Por favor no seleccionar los criterios de impacto",K24)</f>
        <v>0</v>
      </c>
      <c r="M24" s="355"/>
      <c r="N24" s="358"/>
      <c r="O24" s="364"/>
      <c r="P24" s="124">
        <v>6</v>
      </c>
      <c r="Q24" s="117"/>
      <c r="R24" s="125" t="str">
        <f t="shared" si="9"/>
        <v/>
      </c>
      <c r="S24" s="126"/>
      <c r="T24" s="126"/>
      <c r="U24" s="127" t="str">
        <f t="shared" si="10"/>
        <v/>
      </c>
      <c r="V24" s="126"/>
      <c r="W24" s="126"/>
      <c r="X24" s="126"/>
      <c r="Y24" s="128" t="str">
        <f t="shared" si="15"/>
        <v/>
      </c>
      <c r="Z24" s="129" t="str">
        <f t="shared" si="11"/>
        <v/>
      </c>
      <c r="AA24" s="130" t="str">
        <f t="shared" si="12"/>
        <v/>
      </c>
      <c r="AB24" s="129" t="str">
        <f t="shared" si="13"/>
        <v/>
      </c>
      <c r="AC24" s="130" t="str">
        <f t="shared" si="16"/>
        <v/>
      </c>
      <c r="AD24" s="131" t="str">
        <f t="shared" si="17"/>
        <v/>
      </c>
      <c r="AE24" s="158"/>
      <c r="AF24" s="159"/>
      <c r="AG24" s="153"/>
      <c r="AH24" s="153"/>
      <c r="AI24" s="153"/>
      <c r="AJ24" s="153"/>
      <c r="AK24" s="154"/>
      <c r="AL24" s="154"/>
      <c r="AM24" s="352"/>
      <c r="AN24" s="352"/>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row>
    <row r="25" spans="1:70" s="135" customFormat="1" ht="43.5" customHeight="1">
      <c r="A25" s="341">
        <v>3</v>
      </c>
      <c r="B25" s="344" t="s">
        <v>201</v>
      </c>
      <c r="C25" s="344" t="s">
        <v>125</v>
      </c>
      <c r="D25" s="344" t="s">
        <v>269</v>
      </c>
      <c r="E25" s="344" t="s">
        <v>270</v>
      </c>
      <c r="F25" s="347" t="s">
        <v>271</v>
      </c>
      <c r="G25" s="344" t="s">
        <v>120</v>
      </c>
      <c r="H25" s="350">
        <v>11</v>
      </c>
      <c r="I25" s="353" t="str">
        <f>IF(H25&lt;=0,"",IF(H25&lt;=2,"Muy Baja",IF(H25&lt;=24,"Baja",IF(H25&lt;=500,"Media",IF(H25&lt;=5000,"Alta","Muy Alta")))))</f>
        <v>Baja</v>
      </c>
      <c r="J25" s="356">
        <f>IF(I25="","",IF(I25="Muy Baja",0.2,IF(I25="Baja",0.4,IF(I25="Media",0.6,IF(I25="Alta",0.8,IF(I25="Muy Alta",1,))))))</f>
        <v>0.4</v>
      </c>
      <c r="K25" s="359" t="s">
        <v>143</v>
      </c>
      <c r="L25" s="356" t="str">
        <f ca="1">IF(NOT(ISERROR(MATCH(K25,'Tabla Impacto'!$B$221:$B$223,0))),'Tabla Impacto'!$F$223&amp;"Por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353" t="str">
        <f ca="1">IF(OR(L25='Tabla Impacto'!$C$11,L25='Tabla Impacto'!$D$11),"Leve",IF(OR(L25='Tabla Impacto'!$C$12,L25='Tabla Impacto'!$D$12),"Menor",IF(OR(L25='Tabla Impacto'!$C$13,L25='Tabla Impacto'!$D$13),"Moderado",IF(OR(L25='Tabla Impacto'!$C$14,L25='Tabla Impacto'!$D$14),"Mayor",IF(OR(L25='Tabla Impacto'!$C$15,L25='Tabla Impacto'!$D$15),"Catastrófico","")))))</f>
        <v>Mayor</v>
      </c>
      <c r="N25" s="356">
        <f ca="1">IF(M25="","",IF(M25="Leve",0.2,IF(M25="Menor",0.4,IF(M25="Moderado",0.6,IF(M25="Mayor",0.8,IF(M25="Catastrófico",1,))))))</f>
        <v>0.8</v>
      </c>
      <c r="O25" s="362" t="str">
        <f ca="1">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124">
        <v>1</v>
      </c>
      <c r="Q25" s="169" t="s">
        <v>327</v>
      </c>
      <c r="R25" s="125" t="str">
        <f t="shared" ref="R25:R66" si="18">IF(OR(S25="Preventivo",S25="Detectivo"),"Probabilidad",IF(S25="Correctivo","Impacto",""))</f>
        <v>Probabilidad</v>
      </c>
      <c r="S25" s="126" t="s">
        <v>14</v>
      </c>
      <c r="T25" s="126" t="s">
        <v>9</v>
      </c>
      <c r="U25" s="127" t="str">
        <f>IF(AND(S25="Preventivo",T25="Automático"),"50%",IF(AND(S25="Preventivo",T25="Manual"),"40%",IF(AND(S25="Detectivo",T25="Automático"),"40%",IF(AND(S25="Detectivo",T25="Manual"),"30%",IF(AND(S25="Correctivo",T25="Automático"),"35%",IF(AND(S25="Correctivo",T25="Manual"),"25%",""))))))</f>
        <v>40%</v>
      </c>
      <c r="V25" s="126" t="s">
        <v>19</v>
      </c>
      <c r="W25" s="126" t="s">
        <v>22</v>
      </c>
      <c r="X25" s="126" t="s">
        <v>111</v>
      </c>
      <c r="Y25" s="128">
        <f>IFERROR(IF(R25="Probabilidad",(J25-(+J25*U25)),IF(R25="Impacto",J25,"")),"")</f>
        <v>0.24</v>
      </c>
      <c r="Z25" s="129" t="str">
        <f>IFERROR(IF(Y25="","",IF(Y25&lt;=0.2,"Muy Baja",IF(Y25&lt;=0.4,"Baja",IF(Y25&lt;=0.6,"Media",IF(Y25&lt;=0.8,"Alta","Muy Alta"))))),"")</f>
        <v>Baja</v>
      </c>
      <c r="AA25" s="130">
        <f>+Y25</f>
        <v>0.24</v>
      </c>
      <c r="AB25" s="129" t="str">
        <f ca="1">IFERROR(IF(AC25="","",IF(AC25&lt;=0.2,"Leve",IF(AC25&lt;=0.4,"Menor",IF(AC25&lt;=0.6,"Moderado",IF(AC25&lt;=0.8,"Mayor","Catastrófico"))))),"")</f>
        <v>Mayor</v>
      </c>
      <c r="AC25" s="130">
        <f ca="1">IFERROR(IF(R25="Impacto",(N25-(+N25*U25)),IF(R25="Probabilidad",N25,"")),"")</f>
        <v>0.8</v>
      </c>
      <c r="AD25" s="131" t="str">
        <f ca="1">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Alto</v>
      </c>
      <c r="AE25" s="158" t="s">
        <v>257</v>
      </c>
      <c r="AF25" s="177" t="s">
        <v>304</v>
      </c>
      <c r="AG25" s="163" t="s">
        <v>272</v>
      </c>
      <c r="AH25" s="163" t="s">
        <v>273</v>
      </c>
      <c r="AI25" s="153" t="s">
        <v>274</v>
      </c>
      <c r="AJ25" s="163" t="s">
        <v>272</v>
      </c>
      <c r="AK25" s="154">
        <v>44684</v>
      </c>
      <c r="AL25" s="164">
        <v>44926</v>
      </c>
      <c r="AM25" s="350">
        <v>4134</v>
      </c>
      <c r="AN25" s="350"/>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row>
    <row r="26" spans="1:70" s="135" customFormat="1" ht="43.5" customHeight="1">
      <c r="A26" s="342"/>
      <c r="B26" s="345"/>
      <c r="C26" s="345"/>
      <c r="D26" s="345"/>
      <c r="E26" s="345"/>
      <c r="F26" s="348"/>
      <c r="G26" s="345"/>
      <c r="H26" s="351"/>
      <c r="I26" s="354"/>
      <c r="J26" s="357"/>
      <c r="K26" s="360"/>
      <c r="L26" s="357">
        <f ca="1">IF(NOT(ISERROR(MATCH(K26,_xlfn.ANCHORARRAY(F37),0))),J39&amp;"Por favor no seleccionar los criterios de impacto",K26)</f>
        <v>0</v>
      </c>
      <c r="M26" s="354"/>
      <c r="N26" s="357"/>
      <c r="O26" s="363"/>
      <c r="P26" s="124">
        <v>2</v>
      </c>
      <c r="Q26" s="169" t="s">
        <v>339</v>
      </c>
      <c r="R26" s="125" t="str">
        <f t="shared" si="18"/>
        <v>Probabilidad</v>
      </c>
      <c r="S26" s="126" t="s">
        <v>14</v>
      </c>
      <c r="T26" s="170" t="s">
        <v>9</v>
      </c>
      <c r="U26" s="127" t="str">
        <f t="shared" ref="U26:U30" si="19">IF(AND(S26="Preventivo",T26="Automático"),"50%",IF(AND(S26="Preventivo",T26="Manual"),"40%",IF(AND(S26="Detectivo",T26="Automático"),"40%",IF(AND(S26="Detectivo",T26="Manual"),"30%",IF(AND(S26="Correctivo",T26="Automático"),"35%",IF(AND(S26="Correctivo",T26="Manual"),"25%",""))))))</f>
        <v>40%</v>
      </c>
      <c r="V26" s="170" t="s">
        <v>19</v>
      </c>
      <c r="W26" s="170" t="s">
        <v>22</v>
      </c>
      <c r="X26" s="170" t="s">
        <v>111</v>
      </c>
      <c r="Y26" s="128">
        <f>IFERROR(IF(AND(R25="Probabilidad",R26="Probabilidad"),(AA25-(+AA25*U26)),IF(R26="Probabilidad",(J25-(+J25*U26)),IF(R26="Impacto",AA25,""))),"")</f>
        <v>0.14399999999999999</v>
      </c>
      <c r="Z26" s="129" t="str">
        <f t="shared" ref="Z26:Z30" si="20">IFERROR(IF(Y26="","",IF(Y26&lt;=0.2,"Muy Baja",IF(Y26&lt;=0.4,"Baja",IF(Y26&lt;=0.6,"Media",IF(Y26&lt;=0.8,"Alta","Muy Alta"))))),"")</f>
        <v>Muy Baja</v>
      </c>
      <c r="AA26" s="130">
        <f t="shared" ref="AA26:AA30" si="21">+Y26</f>
        <v>0.14399999999999999</v>
      </c>
      <c r="AB26" s="129" t="str">
        <f t="shared" ref="AB26:AB30" ca="1" si="22">IFERROR(IF(AC26="","",IF(AC26&lt;=0.2,"Leve",IF(AC26&lt;=0.4,"Menor",IF(AC26&lt;=0.6,"Moderado",IF(AC26&lt;=0.8,"Mayor","Catastrófico"))))),"")</f>
        <v>Mayor</v>
      </c>
      <c r="AC26" s="130">
        <f ca="1">IFERROR(IF(AND(R25="Impacto",R26="Impacto"),(AC25-(+AC25*U26)),IF(R26="Impacto",(N25-(+N25*U26)),IF(R26="Probabilidad",AC25,""))),"")</f>
        <v>0.8</v>
      </c>
      <c r="AD26" s="131" t="str">
        <f t="shared" ref="AD26:AD27" ca="1" si="23">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Alto</v>
      </c>
      <c r="AE26" s="158" t="s">
        <v>257</v>
      </c>
      <c r="AF26" s="177" t="s">
        <v>338</v>
      </c>
      <c r="AG26" s="171" t="s">
        <v>272</v>
      </c>
      <c r="AH26" s="171" t="s">
        <v>273</v>
      </c>
      <c r="AI26" s="175" t="s">
        <v>274</v>
      </c>
      <c r="AJ26" s="171" t="s">
        <v>272</v>
      </c>
      <c r="AK26" s="176">
        <v>44684</v>
      </c>
      <c r="AL26" s="172">
        <v>44926</v>
      </c>
      <c r="AM26" s="351"/>
      <c r="AN26" s="351"/>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row>
    <row r="27" spans="1:70" s="135" customFormat="1" ht="43.5" customHeight="1">
      <c r="A27" s="342"/>
      <c r="B27" s="345"/>
      <c r="C27" s="345"/>
      <c r="D27" s="345"/>
      <c r="E27" s="345"/>
      <c r="F27" s="348"/>
      <c r="G27" s="345"/>
      <c r="H27" s="351"/>
      <c r="I27" s="354"/>
      <c r="J27" s="357"/>
      <c r="K27" s="360"/>
      <c r="L27" s="357">
        <f ca="1">IF(NOT(ISERROR(MATCH(K27,_xlfn.ANCHORARRAY(F38),0))),J40&amp;"Por favor no seleccionar los criterios de impacto",K27)</f>
        <v>0</v>
      </c>
      <c r="M27" s="354"/>
      <c r="N27" s="357"/>
      <c r="O27" s="363"/>
      <c r="P27" s="124">
        <v>3</v>
      </c>
      <c r="Q27" s="118"/>
      <c r="R27" s="125" t="str">
        <f t="shared" si="18"/>
        <v/>
      </c>
      <c r="S27" s="126"/>
      <c r="T27" s="126"/>
      <c r="U27" s="127" t="str">
        <f t="shared" si="19"/>
        <v/>
      </c>
      <c r="V27" s="126"/>
      <c r="W27" s="126"/>
      <c r="X27" s="126"/>
      <c r="Y27" s="128" t="str">
        <f>IFERROR(IF(AND(R26="Probabilidad",R27="Probabilidad"),(AA26-(+AA26*U27)),IF(AND(R26="Impacto",R27="Probabilidad"),(AA25-(+AA25*U27)),IF(R27="Impacto",AA26,""))),"")</f>
        <v/>
      </c>
      <c r="Z27" s="129" t="str">
        <f t="shared" si="20"/>
        <v/>
      </c>
      <c r="AA27" s="130" t="str">
        <f t="shared" si="21"/>
        <v/>
      </c>
      <c r="AB27" s="129" t="str">
        <f t="shared" si="22"/>
        <v/>
      </c>
      <c r="AC27" s="130" t="str">
        <f>IFERROR(IF(AND(R26="Impacto",R27="Impacto"),(AC26-(+AC26*U27)),IF(AND(R26="Probabilidad",R27="Impacto"),(AC25-(+AC25*U27)),IF(R27="Probabilidad",AC26,""))),"")</f>
        <v/>
      </c>
      <c r="AD27" s="131" t="str">
        <f t="shared" si="23"/>
        <v/>
      </c>
      <c r="AE27" s="158"/>
      <c r="AF27" s="159"/>
      <c r="AG27" s="153"/>
      <c r="AH27" s="153"/>
      <c r="AI27" s="153"/>
      <c r="AJ27" s="153"/>
      <c r="AK27" s="154"/>
      <c r="AL27" s="154"/>
      <c r="AM27" s="351"/>
      <c r="AN27" s="351"/>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row>
    <row r="28" spans="1:70" s="135" customFormat="1" ht="43.5" customHeight="1">
      <c r="A28" s="342"/>
      <c r="B28" s="345"/>
      <c r="C28" s="345"/>
      <c r="D28" s="345"/>
      <c r="E28" s="345"/>
      <c r="F28" s="348"/>
      <c r="G28" s="345"/>
      <c r="H28" s="351"/>
      <c r="I28" s="354"/>
      <c r="J28" s="357"/>
      <c r="K28" s="360"/>
      <c r="L28" s="357">
        <f ca="1">IF(NOT(ISERROR(MATCH(K28,_xlfn.ANCHORARRAY(F39),0))),J41&amp;"Por favor no seleccionar los criterios de impacto",K28)</f>
        <v>0</v>
      </c>
      <c r="M28" s="354"/>
      <c r="N28" s="357"/>
      <c r="O28" s="363"/>
      <c r="P28" s="124">
        <v>4</v>
      </c>
      <c r="Q28" s="117"/>
      <c r="R28" s="125" t="str">
        <f t="shared" si="18"/>
        <v/>
      </c>
      <c r="S28" s="126"/>
      <c r="T28" s="126"/>
      <c r="U28" s="127" t="str">
        <f t="shared" si="19"/>
        <v/>
      </c>
      <c r="V28" s="126"/>
      <c r="W28" s="126"/>
      <c r="X28" s="126"/>
      <c r="Y28" s="128" t="str">
        <f t="shared" ref="Y28:Y30" si="24">IFERROR(IF(AND(R27="Probabilidad",R28="Probabilidad"),(AA27-(+AA27*U28)),IF(AND(R27="Impacto",R28="Probabilidad"),(AA26-(+AA26*U28)),IF(R28="Impacto",AA27,""))),"")</f>
        <v/>
      </c>
      <c r="Z28" s="129" t="str">
        <f t="shared" si="20"/>
        <v/>
      </c>
      <c r="AA28" s="130" t="str">
        <f t="shared" si="21"/>
        <v/>
      </c>
      <c r="AB28" s="129" t="str">
        <f t="shared" si="22"/>
        <v/>
      </c>
      <c r="AC28" s="130" t="str">
        <f t="shared" ref="AC28:AC30" si="25">IFERROR(IF(AND(R27="Impacto",R28="Impacto"),(AC27-(+AC27*U28)),IF(AND(R27="Probabilidad",R28="Impacto"),(AC26-(+AC26*U28)),IF(R28="Probabilidad",AC27,""))),"")</f>
        <v/>
      </c>
      <c r="AD28" s="131"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58"/>
      <c r="AF28" s="159"/>
      <c r="AG28" s="153"/>
      <c r="AH28" s="153"/>
      <c r="AI28" s="153"/>
      <c r="AJ28" s="153"/>
      <c r="AK28" s="154"/>
      <c r="AL28" s="154"/>
      <c r="AM28" s="351"/>
      <c r="AN28" s="351"/>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row>
    <row r="29" spans="1:70" s="135" customFormat="1" ht="43.5" customHeight="1">
      <c r="A29" s="342"/>
      <c r="B29" s="345"/>
      <c r="C29" s="345"/>
      <c r="D29" s="345"/>
      <c r="E29" s="345"/>
      <c r="F29" s="348"/>
      <c r="G29" s="345"/>
      <c r="H29" s="351"/>
      <c r="I29" s="354"/>
      <c r="J29" s="357"/>
      <c r="K29" s="360"/>
      <c r="L29" s="357">
        <f ca="1">IF(NOT(ISERROR(MATCH(K29,_xlfn.ANCHORARRAY(F40),0))),J42&amp;"Por favor no seleccionar los criterios de impacto",K29)</f>
        <v>0</v>
      </c>
      <c r="M29" s="354"/>
      <c r="N29" s="357"/>
      <c r="O29" s="363"/>
      <c r="P29" s="124">
        <v>5</v>
      </c>
      <c r="Q29" s="117"/>
      <c r="R29" s="125" t="str">
        <f t="shared" si="18"/>
        <v/>
      </c>
      <c r="S29" s="126"/>
      <c r="T29" s="126"/>
      <c r="U29" s="127" t="str">
        <f t="shared" si="19"/>
        <v/>
      </c>
      <c r="V29" s="126"/>
      <c r="W29" s="126"/>
      <c r="X29" s="126"/>
      <c r="Y29" s="128" t="str">
        <f t="shared" si="24"/>
        <v/>
      </c>
      <c r="Z29" s="129" t="str">
        <f t="shared" si="20"/>
        <v/>
      </c>
      <c r="AA29" s="130" t="str">
        <f t="shared" si="21"/>
        <v/>
      </c>
      <c r="AB29" s="129" t="str">
        <f t="shared" si="22"/>
        <v/>
      </c>
      <c r="AC29" s="130" t="str">
        <f t="shared" si="25"/>
        <v/>
      </c>
      <c r="AD29" s="131" t="str">
        <f t="shared" ref="AD29:AD30" si="26">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58"/>
      <c r="AF29" s="159"/>
      <c r="AG29" s="153"/>
      <c r="AH29" s="153"/>
      <c r="AI29" s="153"/>
      <c r="AJ29" s="153"/>
      <c r="AK29" s="154"/>
      <c r="AL29" s="154"/>
      <c r="AM29" s="351"/>
      <c r="AN29" s="351"/>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row>
    <row r="30" spans="1:70" s="135" customFormat="1" ht="43.5" customHeight="1">
      <c r="A30" s="343"/>
      <c r="B30" s="346"/>
      <c r="C30" s="346"/>
      <c r="D30" s="346"/>
      <c r="E30" s="346"/>
      <c r="F30" s="349"/>
      <c r="G30" s="346"/>
      <c r="H30" s="352"/>
      <c r="I30" s="355"/>
      <c r="J30" s="358"/>
      <c r="K30" s="361"/>
      <c r="L30" s="358">
        <f ca="1">IF(NOT(ISERROR(MATCH(K30,_xlfn.ANCHORARRAY(F41),0))),J43&amp;"Por favor no seleccionar los criterios de impacto",K30)</f>
        <v>0</v>
      </c>
      <c r="M30" s="355"/>
      <c r="N30" s="358"/>
      <c r="O30" s="364"/>
      <c r="P30" s="124">
        <v>6</v>
      </c>
      <c r="Q30" s="117"/>
      <c r="R30" s="125" t="str">
        <f t="shared" si="18"/>
        <v/>
      </c>
      <c r="S30" s="126"/>
      <c r="T30" s="126"/>
      <c r="U30" s="127" t="str">
        <f t="shared" si="19"/>
        <v/>
      </c>
      <c r="V30" s="126"/>
      <c r="W30" s="126"/>
      <c r="X30" s="126"/>
      <c r="Y30" s="128" t="str">
        <f t="shared" si="24"/>
        <v/>
      </c>
      <c r="Z30" s="129" t="str">
        <f t="shared" si="20"/>
        <v/>
      </c>
      <c r="AA30" s="130" t="str">
        <f t="shared" si="21"/>
        <v/>
      </c>
      <c r="AB30" s="129" t="str">
        <f t="shared" si="22"/>
        <v/>
      </c>
      <c r="AC30" s="130" t="str">
        <f t="shared" si="25"/>
        <v/>
      </c>
      <c r="AD30" s="131" t="str">
        <f t="shared" si="26"/>
        <v/>
      </c>
      <c r="AE30" s="158"/>
      <c r="AF30" s="159"/>
      <c r="AG30" s="153"/>
      <c r="AH30" s="153"/>
      <c r="AI30" s="153"/>
      <c r="AJ30" s="153"/>
      <c r="AK30" s="154"/>
      <c r="AL30" s="154"/>
      <c r="AM30" s="352"/>
      <c r="AN30" s="352"/>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row>
    <row r="31" spans="1:70" s="135" customFormat="1" ht="43.5" customHeight="1">
      <c r="A31" s="341">
        <v>4</v>
      </c>
      <c r="B31" s="344" t="s">
        <v>201</v>
      </c>
      <c r="C31" s="344" t="s">
        <v>125</v>
      </c>
      <c r="D31" s="344" t="s">
        <v>275</v>
      </c>
      <c r="E31" s="344" t="s">
        <v>276</v>
      </c>
      <c r="F31" s="347" t="s">
        <v>277</v>
      </c>
      <c r="G31" s="344" t="s">
        <v>115</v>
      </c>
      <c r="H31" s="350">
        <v>1</v>
      </c>
      <c r="I31" s="353" t="str">
        <f>IF(H31&lt;=0,"",IF(H31&lt;=2,"Muy Baja",IF(H31&lt;=24,"Baja",IF(H31&lt;=500,"Media",IF(H31&lt;=5000,"Alta","Muy Alta")))))</f>
        <v>Muy Baja</v>
      </c>
      <c r="J31" s="356">
        <f>IF(I31="","",IF(I31="Muy Baja",0.2,IF(I31="Baja",0.4,IF(I31="Media",0.6,IF(I31="Alta",0.8,IF(I31="Muy Alta",1,))))))</f>
        <v>0.2</v>
      </c>
      <c r="K31" s="359" t="s">
        <v>143</v>
      </c>
      <c r="L31" s="356" t="str">
        <f ca="1">IF(NOT(ISERROR(MATCH(K31,'Tabla Impacto'!$B$221:$B$223,0))),'Tabla Impacto'!$F$223&amp;"Por favor no seleccionar los criterios de impacto(Afectación Económica o presupuestal y Pérdida Reputacional)",K31)</f>
        <v xml:space="preserve">     El riesgo afecta la imagen de de la entidad con efecto publicitario sostenido a nivel de sector administrativo, nivel departamental o municipal</v>
      </c>
      <c r="M31" s="353" t="str">
        <f ca="1">IF(OR(L31='Tabla Impacto'!$C$11,L31='Tabla Impacto'!$D$11),"Leve",IF(OR(L31='Tabla Impacto'!$C$12,L31='Tabla Impacto'!$D$12),"Menor",IF(OR(L31='Tabla Impacto'!$C$13,L31='Tabla Impacto'!$D$13),"Moderado",IF(OR(L31='Tabla Impacto'!$C$14,L31='Tabla Impacto'!$D$14),"Mayor",IF(OR(L31='Tabla Impacto'!$C$15,L31='Tabla Impacto'!$D$15),"Catastrófico","")))))</f>
        <v>Mayor</v>
      </c>
      <c r="N31" s="356">
        <f ca="1">IF(M31="","",IF(M31="Leve",0.2,IF(M31="Menor",0.4,IF(M31="Moderado",0.6,IF(M31="Mayor",0.8,IF(M31="Catastrófico",1,))))))</f>
        <v>0.8</v>
      </c>
      <c r="O31" s="362" t="str">
        <f ca="1">IF(OR(AND(I31="Muy Baja",M31="Leve"),AND(I31="Muy Baja",M31="Menor"),AND(I31="Baja",M31="Leve")),"Bajo",IF(OR(AND(I31="Muy baja",M31="Moderado"),AND(I31="Baja",M31="Menor"),AND(I31="Baja",M31="Moderado"),AND(I31="Media",M31="Leve"),AND(I31="Media",M31="Menor"),AND(I31="Media",M31="Moderado"),AND(I31="Alta",M31="Leve"),AND(I31="Alta",M31="Menor")),"Moderado",IF(OR(AND(I31="Muy Baja",M31="Mayor"),AND(I31="Baja",M31="Mayor"),AND(I31="Media",M31="Mayor"),AND(I31="Alta",M31="Moderado"),AND(I31="Alta",M31="Mayor"),AND(I31="Muy Alta",M31="Leve"),AND(I31="Muy Alta",M31="Menor"),AND(I31="Muy Alta",M31="Moderado"),AND(I31="Muy Alta",M31="Mayor")),"Alto",IF(OR(AND(I31="Muy Baja",M31="Catastrófico"),AND(I31="Baja",M31="Catastrófico"),AND(I31="Media",M31="Catastrófico"),AND(I31="Alta",M31="Catastrófico"),AND(I31="Muy Alta",M31="Catastrófico")),"Extremo",""))))</f>
        <v>Alto</v>
      </c>
      <c r="P31" s="124">
        <v>1</v>
      </c>
      <c r="Q31" s="169" t="s">
        <v>334</v>
      </c>
      <c r="R31" s="125" t="str">
        <f t="shared" si="18"/>
        <v>Probabilidad</v>
      </c>
      <c r="S31" s="126" t="s">
        <v>15</v>
      </c>
      <c r="T31" s="126" t="s">
        <v>9</v>
      </c>
      <c r="U31" s="127" t="str">
        <f>IF(AND(S31="Preventivo",T31="Automático"),"50%",IF(AND(S31="Preventivo",T31="Manual"),"40%",IF(AND(S31="Detectivo",T31="Automático"),"40%",IF(AND(S31="Detectivo",T31="Manual"),"30%",IF(AND(S31="Correctivo",T31="Automático"),"35%",IF(AND(S31="Correctivo",T31="Manual"),"25%",""))))))</f>
        <v>30%</v>
      </c>
      <c r="V31" s="126" t="s">
        <v>19</v>
      </c>
      <c r="W31" s="126" t="s">
        <v>22</v>
      </c>
      <c r="X31" s="126" t="s">
        <v>111</v>
      </c>
      <c r="Y31" s="128">
        <f>IFERROR(IF(R31="Probabilidad",(J31-(+J31*U31)),IF(R31="Impacto",J31,"")),"")</f>
        <v>0.14000000000000001</v>
      </c>
      <c r="Z31" s="129" t="str">
        <f>IFERROR(IF(Y31="","",IF(Y31&lt;=0.2,"Muy Baja",IF(Y31&lt;=0.4,"Baja",IF(Y31&lt;=0.6,"Media",IF(Y31&lt;=0.8,"Alta","Muy Alta"))))),"")</f>
        <v>Muy Baja</v>
      </c>
      <c r="AA31" s="130">
        <f>+Y31</f>
        <v>0.14000000000000001</v>
      </c>
      <c r="AB31" s="129" t="str">
        <f ca="1">IFERROR(IF(AC31="","",IF(AC31&lt;=0.2,"Leve",IF(AC31&lt;=0.4,"Menor",IF(AC31&lt;=0.6,"Moderado",IF(AC31&lt;=0.8,"Mayor","Catastrófico"))))),"")</f>
        <v>Mayor</v>
      </c>
      <c r="AC31" s="130">
        <f ca="1">IFERROR(IF(R31="Impacto",(N31-(+N31*U31)),IF(R31="Probabilidad",N31,"")),"")</f>
        <v>0.8</v>
      </c>
      <c r="AD31" s="131" t="str">
        <f ca="1">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Alto</v>
      </c>
      <c r="AE31" s="162" t="s">
        <v>257</v>
      </c>
      <c r="AF31" s="177" t="s">
        <v>336</v>
      </c>
      <c r="AG31" s="163" t="s">
        <v>272</v>
      </c>
      <c r="AH31" s="163" t="s">
        <v>273</v>
      </c>
      <c r="AI31" s="153" t="s">
        <v>274</v>
      </c>
      <c r="AJ31" s="163" t="s">
        <v>272</v>
      </c>
      <c r="AK31" s="154">
        <v>44684</v>
      </c>
      <c r="AL31" s="164">
        <v>44926</v>
      </c>
      <c r="AM31" s="350">
        <v>4135</v>
      </c>
      <c r="AN31" s="350"/>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row>
    <row r="32" spans="1:70" s="135" customFormat="1" ht="43.5" customHeight="1">
      <c r="A32" s="342"/>
      <c r="B32" s="345"/>
      <c r="C32" s="345"/>
      <c r="D32" s="345"/>
      <c r="E32" s="345"/>
      <c r="F32" s="348"/>
      <c r="G32" s="345"/>
      <c r="H32" s="351"/>
      <c r="I32" s="354"/>
      <c r="J32" s="357"/>
      <c r="K32" s="360"/>
      <c r="L32" s="357">
        <f ca="1">IF(NOT(ISERROR(MATCH(K32,_xlfn.ANCHORARRAY(F43),0))),J45&amp;"Por favor no seleccionar los criterios de impacto",K32)</f>
        <v>0</v>
      </c>
      <c r="M32" s="354"/>
      <c r="N32" s="357"/>
      <c r="O32" s="363"/>
      <c r="P32" s="124">
        <v>2</v>
      </c>
      <c r="Q32" s="169" t="s">
        <v>335</v>
      </c>
      <c r="R32" s="125" t="str">
        <f t="shared" si="18"/>
        <v>Impacto</v>
      </c>
      <c r="S32" s="126" t="s">
        <v>16</v>
      </c>
      <c r="T32" s="126" t="s">
        <v>9</v>
      </c>
      <c r="U32" s="127" t="str">
        <f t="shared" ref="U32:U36" si="27">IF(AND(S32="Preventivo",T32="Automático"),"50%",IF(AND(S32="Preventivo",T32="Manual"),"40%",IF(AND(S32="Detectivo",T32="Automático"),"40%",IF(AND(S32="Detectivo",T32="Manual"),"30%",IF(AND(S32="Correctivo",T32="Automático"),"35%",IF(AND(S32="Correctivo",T32="Manual"),"25%",""))))))</f>
        <v>25%</v>
      </c>
      <c r="V32" s="126" t="s">
        <v>19</v>
      </c>
      <c r="W32" s="126" t="s">
        <v>22</v>
      </c>
      <c r="X32" s="126" t="s">
        <v>111</v>
      </c>
      <c r="Y32" s="128">
        <f>IFERROR(IF(AND(R31="Probabilidad",R32="Probabilidad"),(AA31-(+AA31*U32)),IF(R32="Probabilidad",(J31-(+J31*U32)),IF(R32="Impacto",AA31,""))),"")</f>
        <v>0.14000000000000001</v>
      </c>
      <c r="Z32" s="129" t="str">
        <f t="shared" ref="Z32:Z36" si="28">IFERROR(IF(Y32="","",IF(Y32&lt;=0.2,"Muy Baja",IF(Y32&lt;=0.4,"Baja",IF(Y32&lt;=0.6,"Media",IF(Y32&lt;=0.8,"Alta","Muy Alta"))))),"")</f>
        <v>Muy Baja</v>
      </c>
      <c r="AA32" s="130">
        <f t="shared" ref="AA32:AA36" si="29">+Y32</f>
        <v>0.14000000000000001</v>
      </c>
      <c r="AB32" s="129" t="str">
        <f t="shared" ref="AB32:AB36" ca="1" si="30">IFERROR(IF(AC32="","",IF(AC32&lt;=0.2,"Leve",IF(AC32&lt;=0.4,"Menor",IF(AC32&lt;=0.6,"Moderado",IF(AC32&lt;=0.8,"Mayor","Catastrófico"))))),"")</f>
        <v>Moderado</v>
      </c>
      <c r="AC32" s="130">
        <f ca="1">IFERROR(IF(AND(R31="Impacto",R32="Impacto"),(AC31-(+AC31*U32)),IF(R32="Impacto",(N31-(+N31*U32)),IF(R32="Probabilidad",AC31,""))),"")</f>
        <v>0.60000000000000009</v>
      </c>
      <c r="AD32" s="131" t="str">
        <f t="shared" ref="AD32:AD33" ca="1" si="31">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Moderado</v>
      </c>
      <c r="AE32" s="158" t="s">
        <v>257</v>
      </c>
      <c r="AF32" s="177" t="s">
        <v>337</v>
      </c>
      <c r="AG32" s="171" t="s">
        <v>272</v>
      </c>
      <c r="AH32" s="171" t="s">
        <v>273</v>
      </c>
      <c r="AI32" s="175" t="s">
        <v>274</v>
      </c>
      <c r="AJ32" s="171" t="s">
        <v>272</v>
      </c>
      <c r="AK32" s="176">
        <v>44684</v>
      </c>
      <c r="AL32" s="172">
        <v>44926</v>
      </c>
      <c r="AM32" s="351"/>
      <c r="AN32" s="351"/>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row>
    <row r="33" spans="1:70" s="135" customFormat="1" ht="43.5" customHeight="1">
      <c r="A33" s="342"/>
      <c r="B33" s="345"/>
      <c r="C33" s="345"/>
      <c r="D33" s="345"/>
      <c r="E33" s="345"/>
      <c r="F33" s="348"/>
      <c r="G33" s="345"/>
      <c r="H33" s="351"/>
      <c r="I33" s="354"/>
      <c r="J33" s="357"/>
      <c r="K33" s="360"/>
      <c r="L33" s="357">
        <f ca="1">IF(NOT(ISERROR(MATCH(K33,_xlfn.ANCHORARRAY(F44),0))),J46&amp;"Por favor no seleccionar los criterios de impacto",K33)</f>
        <v>0</v>
      </c>
      <c r="M33" s="354"/>
      <c r="N33" s="357"/>
      <c r="O33" s="363"/>
      <c r="P33" s="124">
        <v>3</v>
      </c>
      <c r="Q33" s="118"/>
      <c r="R33" s="125" t="str">
        <f t="shared" si="18"/>
        <v/>
      </c>
      <c r="S33" s="126"/>
      <c r="T33" s="126"/>
      <c r="U33" s="127" t="str">
        <f t="shared" si="27"/>
        <v/>
      </c>
      <c r="V33" s="126"/>
      <c r="W33" s="126"/>
      <c r="X33" s="126"/>
      <c r="Y33" s="128" t="str">
        <f>IFERROR(IF(AND(R32="Probabilidad",R33="Probabilidad"),(AA32-(+AA32*U33)),IF(AND(R32="Impacto",R33="Probabilidad"),(AA31-(+AA31*U33)),IF(R33="Impacto",AA32,""))),"")</f>
        <v/>
      </c>
      <c r="Z33" s="129" t="str">
        <f t="shared" si="28"/>
        <v/>
      </c>
      <c r="AA33" s="130" t="str">
        <f t="shared" si="29"/>
        <v/>
      </c>
      <c r="AB33" s="129" t="str">
        <f t="shared" si="30"/>
        <v/>
      </c>
      <c r="AC33" s="130" t="str">
        <f>IFERROR(IF(AND(R32="Impacto",R33="Impacto"),(AC32-(+AC32*U33)),IF(AND(R32="Probabilidad",R33="Impacto"),(AC31-(+AC31*U33)),IF(R33="Probabilidad",AC32,""))),"")</f>
        <v/>
      </c>
      <c r="AD33" s="131" t="str">
        <f t="shared" si="31"/>
        <v/>
      </c>
      <c r="AE33" s="158"/>
      <c r="AF33" s="159"/>
      <c r="AG33" s="153"/>
      <c r="AH33" s="153"/>
      <c r="AI33" s="153"/>
      <c r="AJ33" s="153"/>
      <c r="AK33" s="154"/>
      <c r="AL33" s="154"/>
      <c r="AM33" s="351"/>
      <c r="AN33" s="351"/>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row>
    <row r="34" spans="1:70" s="135" customFormat="1" ht="43.5" customHeight="1">
      <c r="A34" s="342"/>
      <c r="B34" s="345"/>
      <c r="C34" s="345"/>
      <c r="D34" s="345"/>
      <c r="E34" s="345"/>
      <c r="F34" s="348"/>
      <c r="G34" s="345"/>
      <c r="H34" s="351"/>
      <c r="I34" s="354"/>
      <c r="J34" s="357"/>
      <c r="K34" s="360"/>
      <c r="L34" s="357">
        <f ca="1">IF(NOT(ISERROR(MATCH(K34,_xlfn.ANCHORARRAY(F45),0))),J47&amp;"Por favor no seleccionar los criterios de impacto",K34)</f>
        <v>0</v>
      </c>
      <c r="M34" s="354"/>
      <c r="N34" s="357"/>
      <c r="O34" s="363"/>
      <c r="P34" s="124">
        <v>4</v>
      </c>
      <c r="Q34" s="117"/>
      <c r="R34" s="125" t="str">
        <f t="shared" si="18"/>
        <v/>
      </c>
      <c r="S34" s="126"/>
      <c r="T34" s="126"/>
      <c r="U34" s="127" t="str">
        <f t="shared" si="27"/>
        <v/>
      </c>
      <c r="V34" s="126"/>
      <c r="W34" s="126"/>
      <c r="X34" s="126"/>
      <c r="Y34" s="128" t="str">
        <f t="shared" ref="Y34:Y36" si="32">IFERROR(IF(AND(R33="Probabilidad",R34="Probabilidad"),(AA33-(+AA33*U34)),IF(AND(R33="Impacto",R34="Probabilidad"),(AA32-(+AA32*U34)),IF(R34="Impacto",AA33,""))),"")</f>
        <v/>
      </c>
      <c r="Z34" s="129" t="str">
        <f t="shared" si="28"/>
        <v/>
      </c>
      <c r="AA34" s="130" t="str">
        <f t="shared" si="29"/>
        <v/>
      </c>
      <c r="AB34" s="129" t="str">
        <f t="shared" si="30"/>
        <v/>
      </c>
      <c r="AC34" s="130" t="str">
        <f t="shared" ref="AC34:AC36" si="33">IFERROR(IF(AND(R33="Impacto",R34="Impacto"),(AC33-(+AC33*U34)),IF(AND(R33="Probabilidad",R34="Impacto"),(AC32-(+AC32*U34)),IF(R34="Probabilidad",AC33,""))),"")</f>
        <v/>
      </c>
      <c r="AD34" s="131"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58"/>
      <c r="AF34" s="159"/>
      <c r="AG34" s="153"/>
      <c r="AH34" s="153"/>
      <c r="AI34" s="153"/>
      <c r="AJ34" s="153"/>
      <c r="AK34" s="154"/>
      <c r="AL34" s="154"/>
      <c r="AM34" s="351"/>
      <c r="AN34" s="351"/>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row>
    <row r="35" spans="1:70" s="135" customFormat="1" ht="43.5" customHeight="1">
      <c r="A35" s="342"/>
      <c r="B35" s="345"/>
      <c r="C35" s="345"/>
      <c r="D35" s="345"/>
      <c r="E35" s="345"/>
      <c r="F35" s="348"/>
      <c r="G35" s="345"/>
      <c r="H35" s="351"/>
      <c r="I35" s="354"/>
      <c r="J35" s="357"/>
      <c r="K35" s="360"/>
      <c r="L35" s="357">
        <f ca="1">IF(NOT(ISERROR(MATCH(K35,_xlfn.ANCHORARRAY(F46),0))),J48&amp;"Por favor no seleccionar los criterios de impacto",K35)</f>
        <v>0</v>
      </c>
      <c r="M35" s="354"/>
      <c r="N35" s="357"/>
      <c r="O35" s="363"/>
      <c r="P35" s="124">
        <v>5</v>
      </c>
      <c r="Q35" s="117"/>
      <c r="R35" s="125" t="str">
        <f t="shared" si="18"/>
        <v/>
      </c>
      <c r="S35" s="126"/>
      <c r="T35" s="126"/>
      <c r="U35" s="127" t="str">
        <f t="shared" si="27"/>
        <v/>
      </c>
      <c r="V35" s="126"/>
      <c r="W35" s="126"/>
      <c r="X35" s="126"/>
      <c r="Y35" s="128" t="str">
        <f t="shared" si="32"/>
        <v/>
      </c>
      <c r="Z35" s="129" t="str">
        <f t="shared" si="28"/>
        <v/>
      </c>
      <c r="AA35" s="130" t="str">
        <f t="shared" si="29"/>
        <v/>
      </c>
      <c r="AB35" s="129" t="str">
        <f t="shared" si="30"/>
        <v/>
      </c>
      <c r="AC35" s="130" t="str">
        <f t="shared" si="33"/>
        <v/>
      </c>
      <c r="AD35" s="131" t="str">
        <f t="shared" ref="AD35:AD36" si="34">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58"/>
      <c r="AF35" s="159"/>
      <c r="AG35" s="153"/>
      <c r="AH35" s="153"/>
      <c r="AI35" s="153"/>
      <c r="AJ35" s="153"/>
      <c r="AK35" s="154"/>
      <c r="AL35" s="154"/>
      <c r="AM35" s="351"/>
      <c r="AN35" s="351"/>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row>
    <row r="36" spans="1:70" s="135" customFormat="1" ht="43.5" customHeight="1">
      <c r="A36" s="343"/>
      <c r="B36" s="346"/>
      <c r="C36" s="346"/>
      <c r="D36" s="346"/>
      <c r="E36" s="346"/>
      <c r="F36" s="349"/>
      <c r="G36" s="346"/>
      <c r="H36" s="352"/>
      <c r="I36" s="355"/>
      <c r="J36" s="358"/>
      <c r="K36" s="361"/>
      <c r="L36" s="358">
        <f ca="1">IF(NOT(ISERROR(MATCH(K36,_xlfn.ANCHORARRAY(F47),0))),J49&amp;"Por favor no seleccionar los criterios de impacto",K36)</f>
        <v>0</v>
      </c>
      <c r="M36" s="355"/>
      <c r="N36" s="358"/>
      <c r="O36" s="364"/>
      <c r="P36" s="124">
        <v>6</v>
      </c>
      <c r="Q36" s="117"/>
      <c r="R36" s="125" t="str">
        <f t="shared" si="18"/>
        <v/>
      </c>
      <c r="S36" s="126"/>
      <c r="T36" s="126"/>
      <c r="U36" s="127" t="str">
        <f t="shared" si="27"/>
        <v/>
      </c>
      <c r="V36" s="126"/>
      <c r="W36" s="126"/>
      <c r="X36" s="126"/>
      <c r="Y36" s="128" t="str">
        <f t="shared" si="32"/>
        <v/>
      </c>
      <c r="Z36" s="129" t="str">
        <f t="shared" si="28"/>
        <v/>
      </c>
      <c r="AA36" s="130" t="str">
        <f t="shared" si="29"/>
        <v/>
      </c>
      <c r="AB36" s="129" t="str">
        <f t="shared" si="30"/>
        <v/>
      </c>
      <c r="AC36" s="130" t="str">
        <f t="shared" si="33"/>
        <v/>
      </c>
      <c r="AD36" s="131" t="str">
        <f t="shared" si="34"/>
        <v/>
      </c>
      <c r="AE36" s="158"/>
      <c r="AF36" s="159"/>
      <c r="AG36" s="153"/>
      <c r="AH36" s="153"/>
      <c r="AI36" s="153"/>
      <c r="AJ36" s="153"/>
      <c r="AK36" s="154"/>
      <c r="AL36" s="154"/>
      <c r="AM36" s="352"/>
      <c r="AN36" s="352"/>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row>
    <row r="37" spans="1:70" s="135" customFormat="1" ht="43.5" customHeight="1">
      <c r="A37" s="341">
        <v>5</v>
      </c>
      <c r="B37" s="344" t="s">
        <v>201</v>
      </c>
      <c r="C37" s="344" t="s">
        <v>125</v>
      </c>
      <c r="D37" s="344" t="s">
        <v>278</v>
      </c>
      <c r="E37" s="344" t="s">
        <v>279</v>
      </c>
      <c r="F37" s="347" t="s">
        <v>280</v>
      </c>
      <c r="G37" s="344" t="s">
        <v>115</v>
      </c>
      <c r="H37" s="350">
        <v>4</v>
      </c>
      <c r="I37" s="353" t="str">
        <f>IF(H37&lt;=0,"",IF(H37&lt;=2,"Muy Baja",IF(H37&lt;=24,"Baja",IF(H37&lt;=500,"Media",IF(H37&lt;=5000,"Alta","Muy Alta")))))</f>
        <v>Baja</v>
      </c>
      <c r="J37" s="356">
        <f>IF(I37="","",IF(I37="Muy Baja",0.2,IF(I37="Baja",0.4,IF(I37="Media",0.6,IF(I37="Alta",0.8,IF(I37="Muy Alta",1,))))))</f>
        <v>0.4</v>
      </c>
      <c r="K37" s="359" t="s">
        <v>143</v>
      </c>
      <c r="L37" s="356" t="str">
        <f ca="1">IF(NOT(ISERROR(MATCH(K37,'Tabla Impacto'!$B$221:$B$223,0))),'Tabla Impacto'!$F$223&amp;"Por favor no seleccionar los criterios de impacto(Afectación Económica o presupuestal y Pérdida Reputacional)",K37)</f>
        <v xml:space="preserve">     El riesgo afecta la imagen de de la entidad con efecto publicitario sostenido a nivel de sector administrativo, nivel departamental o municipal</v>
      </c>
      <c r="M37" s="353" t="str">
        <f ca="1">IF(OR(L37='Tabla Impacto'!$C$11,L37='Tabla Impacto'!$D$11),"Leve",IF(OR(L37='Tabla Impacto'!$C$12,L37='Tabla Impacto'!$D$12),"Menor",IF(OR(L37='Tabla Impacto'!$C$13,L37='Tabla Impacto'!$D$13),"Moderado",IF(OR(L37='Tabla Impacto'!$C$14,L37='Tabla Impacto'!$D$14),"Mayor",IF(OR(L37='Tabla Impacto'!$C$15,L37='Tabla Impacto'!$D$15),"Catastrófico","")))))</f>
        <v>Mayor</v>
      </c>
      <c r="N37" s="356">
        <f ca="1">IF(M37="","",IF(M37="Leve",0.2,IF(M37="Menor",0.4,IF(M37="Moderado",0.6,IF(M37="Mayor",0.8,IF(M37="Catastrófico",1,))))))</f>
        <v>0.8</v>
      </c>
      <c r="O37" s="362" t="str">
        <f ca="1">IF(OR(AND(I37="Muy Baja",M37="Leve"),AND(I37="Muy Baja",M37="Menor"),AND(I37="Baja",M37="Leve")),"Bajo",IF(OR(AND(I37="Muy baja",M37="Moderado"),AND(I37="Baja",M37="Menor"),AND(I37="Baja",M37="Moderado"),AND(I37="Media",M37="Leve"),AND(I37="Media",M37="Menor"),AND(I37="Media",M37="Moderado"),AND(I37="Alta",M37="Leve"),AND(I37="Alta",M37="Menor")),"Moderado",IF(OR(AND(I37="Muy Baja",M37="Mayor"),AND(I37="Baja",M37="Mayor"),AND(I37="Media",M37="Mayor"),AND(I37="Alta",M37="Moderado"),AND(I37="Alta",M37="Mayor"),AND(I37="Muy Alta",M37="Leve"),AND(I37="Muy Alta",M37="Menor"),AND(I37="Muy Alta",M37="Moderado"),AND(I37="Muy Alta",M37="Mayor")),"Alto",IF(OR(AND(I37="Muy Baja",M37="Catastrófico"),AND(I37="Baja",M37="Catastrófico"),AND(I37="Media",M37="Catastrófico"),AND(I37="Alta",M37="Catastrófico"),AND(I37="Muy Alta",M37="Catastrófico")),"Extremo",""))))</f>
        <v>Alto</v>
      </c>
      <c r="P37" s="124">
        <v>1</v>
      </c>
      <c r="Q37" s="167" t="s">
        <v>329</v>
      </c>
      <c r="R37" s="125" t="str">
        <f t="shared" si="18"/>
        <v>Probabilidad</v>
      </c>
      <c r="S37" s="126" t="s">
        <v>14</v>
      </c>
      <c r="T37" s="126" t="s">
        <v>9</v>
      </c>
      <c r="U37" s="127" t="str">
        <f>IF(AND(S37="Preventivo",T37="Automático"),"50%",IF(AND(S37="Preventivo",T37="Manual"),"40%",IF(AND(S37="Detectivo",T37="Automático"),"40%",IF(AND(S37="Detectivo",T37="Manual"),"30%",IF(AND(S37="Correctivo",T37="Automático"),"35%",IF(AND(S37="Correctivo",T37="Manual"),"25%",""))))))</f>
        <v>40%</v>
      </c>
      <c r="V37" s="126" t="s">
        <v>19</v>
      </c>
      <c r="W37" s="126" t="s">
        <v>22</v>
      </c>
      <c r="X37" s="126" t="s">
        <v>111</v>
      </c>
      <c r="Y37" s="128">
        <f>IFERROR(IF(R37="Probabilidad",(J37-(+J37*U37)),IF(R37="Impacto",J37,"")),"")</f>
        <v>0.24</v>
      </c>
      <c r="Z37" s="129" t="str">
        <f>IFERROR(IF(Y37="","",IF(Y37&lt;=0.2,"Muy Baja",IF(Y37&lt;=0.4,"Baja",IF(Y37&lt;=0.6,"Media",IF(Y37&lt;=0.8,"Alta","Muy Alta"))))),"")</f>
        <v>Baja</v>
      </c>
      <c r="AA37" s="130">
        <f>+Y37</f>
        <v>0.24</v>
      </c>
      <c r="AB37" s="129" t="str">
        <f ca="1">IFERROR(IF(AC37="","",IF(AC37&lt;=0.2,"Leve",IF(AC37&lt;=0.4,"Menor",IF(AC37&lt;=0.6,"Moderado",IF(AC37&lt;=0.8,"Mayor","Catastrófico"))))),"")</f>
        <v>Mayor</v>
      </c>
      <c r="AC37" s="130">
        <f ca="1">IFERROR(IF(R37="Impacto",(N37-(+N37*U37)),IF(R37="Probabilidad",N37,"")),"")</f>
        <v>0.8</v>
      </c>
      <c r="AD37" s="131" t="str">
        <f ca="1">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Alto</v>
      </c>
      <c r="AE37" s="158" t="s">
        <v>257</v>
      </c>
      <c r="AF37" s="168" t="s">
        <v>303</v>
      </c>
      <c r="AG37" s="171" t="s">
        <v>281</v>
      </c>
      <c r="AH37" s="171" t="s">
        <v>273</v>
      </c>
      <c r="AI37" s="175" t="s">
        <v>282</v>
      </c>
      <c r="AJ37" s="171" t="s">
        <v>281</v>
      </c>
      <c r="AK37" s="172">
        <v>44701</v>
      </c>
      <c r="AL37" s="172">
        <v>44926</v>
      </c>
      <c r="AM37" s="350">
        <v>4136</v>
      </c>
      <c r="AN37" s="350"/>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row>
    <row r="38" spans="1:70" s="135" customFormat="1" ht="43.5" customHeight="1">
      <c r="A38" s="342"/>
      <c r="B38" s="345"/>
      <c r="C38" s="345"/>
      <c r="D38" s="345"/>
      <c r="E38" s="345"/>
      <c r="F38" s="348"/>
      <c r="G38" s="345"/>
      <c r="H38" s="351"/>
      <c r="I38" s="354"/>
      <c r="J38" s="357"/>
      <c r="K38" s="360"/>
      <c r="L38" s="357">
        <f ca="1">IF(NOT(ISERROR(MATCH(K38,_xlfn.ANCHORARRAY(F49),0))),J51&amp;"Por favor no seleccionar los criterios de impacto",K38)</f>
        <v>0</v>
      </c>
      <c r="M38" s="354"/>
      <c r="N38" s="357"/>
      <c r="O38" s="363"/>
      <c r="P38" s="124">
        <v>2</v>
      </c>
      <c r="Q38" s="117"/>
      <c r="R38" s="125" t="str">
        <f t="shared" si="18"/>
        <v/>
      </c>
      <c r="S38" s="126"/>
      <c r="T38" s="126"/>
      <c r="U38" s="127" t="str">
        <f t="shared" ref="U38:U42" si="35">IF(AND(S38="Preventivo",T38="Automático"),"50%",IF(AND(S38="Preventivo",T38="Manual"),"40%",IF(AND(S38="Detectivo",T38="Automático"),"40%",IF(AND(S38="Detectivo",T38="Manual"),"30%",IF(AND(S38="Correctivo",T38="Automático"),"35%",IF(AND(S38="Correctivo",T38="Manual"),"25%",""))))))</f>
        <v/>
      </c>
      <c r="V38" s="126"/>
      <c r="W38" s="126"/>
      <c r="X38" s="126"/>
      <c r="Y38" s="128" t="str">
        <f>IFERROR(IF(AND(R37="Probabilidad",R38="Probabilidad"),(AA37-(+AA37*U38)),IF(R38="Probabilidad",(J37-(+J37*U38)),IF(R38="Impacto",AA37,""))),"")</f>
        <v/>
      </c>
      <c r="Z38" s="129" t="str">
        <f t="shared" ref="Z38:Z42" si="36">IFERROR(IF(Y38="","",IF(Y38&lt;=0.2,"Muy Baja",IF(Y38&lt;=0.4,"Baja",IF(Y38&lt;=0.6,"Media",IF(Y38&lt;=0.8,"Alta","Muy Alta"))))),"")</f>
        <v/>
      </c>
      <c r="AA38" s="130" t="str">
        <f t="shared" ref="AA38:AA42" si="37">+Y38</f>
        <v/>
      </c>
      <c r="AB38" s="129" t="str">
        <f t="shared" ref="AB38:AB42" si="38">IFERROR(IF(AC38="","",IF(AC38&lt;=0.2,"Leve",IF(AC38&lt;=0.4,"Menor",IF(AC38&lt;=0.6,"Moderado",IF(AC38&lt;=0.8,"Mayor","Catastrófico"))))),"")</f>
        <v/>
      </c>
      <c r="AC38" s="130" t="str">
        <f>IFERROR(IF(AND(R37="Impacto",R38="Impacto"),(AC37-(+AC37*U38)),IF(R38="Impacto",(N37-(+N37*U38)),IF(R38="Probabilidad",AC37,""))),"")</f>
        <v/>
      </c>
      <c r="AD38" s="131" t="str">
        <f t="shared" ref="AD38:AD39" si="39">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58"/>
      <c r="AF38" s="159"/>
      <c r="AG38" s="153"/>
      <c r="AH38" s="153"/>
      <c r="AI38" s="153"/>
      <c r="AJ38" s="153"/>
      <c r="AK38" s="154"/>
      <c r="AL38" s="154"/>
      <c r="AM38" s="351"/>
      <c r="AN38" s="351"/>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row>
    <row r="39" spans="1:70" s="135" customFormat="1" ht="43.5" customHeight="1">
      <c r="A39" s="342"/>
      <c r="B39" s="345"/>
      <c r="C39" s="345"/>
      <c r="D39" s="345"/>
      <c r="E39" s="345"/>
      <c r="F39" s="348"/>
      <c r="G39" s="345"/>
      <c r="H39" s="351"/>
      <c r="I39" s="354"/>
      <c r="J39" s="357"/>
      <c r="K39" s="360"/>
      <c r="L39" s="357">
        <f ca="1">IF(NOT(ISERROR(MATCH(K39,_xlfn.ANCHORARRAY(F50),0))),J52&amp;"Por favor no seleccionar los criterios de impacto",K39)</f>
        <v>0</v>
      </c>
      <c r="M39" s="354"/>
      <c r="N39" s="357"/>
      <c r="O39" s="363"/>
      <c r="P39" s="124">
        <v>3</v>
      </c>
      <c r="Q39" s="118"/>
      <c r="R39" s="125" t="str">
        <f t="shared" si="18"/>
        <v/>
      </c>
      <c r="S39" s="126"/>
      <c r="T39" s="126"/>
      <c r="U39" s="127" t="str">
        <f t="shared" si="35"/>
        <v/>
      </c>
      <c r="V39" s="126"/>
      <c r="W39" s="126"/>
      <c r="X39" s="126"/>
      <c r="Y39" s="128" t="str">
        <f>IFERROR(IF(AND(R38="Probabilidad",R39="Probabilidad"),(AA38-(+AA38*U39)),IF(AND(R38="Impacto",R39="Probabilidad"),(AA37-(+AA37*U39)),IF(R39="Impacto",AA38,""))),"")</f>
        <v/>
      </c>
      <c r="Z39" s="129" t="str">
        <f t="shared" si="36"/>
        <v/>
      </c>
      <c r="AA39" s="130" t="str">
        <f t="shared" si="37"/>
        <v/>
      </c>
      <c r="AB39" s="129" t="str">
        <f t="shared" si="38"/>
        <v/>
      </c>
      <c r="AC39" s="130" t="str">
        <f>IFERROR(IF(AND(R38="Impacto",R39="Impacto"),(AC38-(+AC38*U39)),IF(AND(R38="Probabilidad",R39="Impacto"),(AC37-(+AC37*U39)),IF(R39="Probabilidad",AC38,""))),"")</f>
        <v/>
      </c>
      <c r="AD39" s="131" t="str">
        <f t="shared" si="39"/>
        <v/>
      </c>
      <c r="AE39" s="158"/>
      <c r="AF39" s="159"/>
      <c r="AG39" s="153"/>
      <c r="AH39" s="153"/>
      <c r="AI39" s="153"/>
      <c r="AJ39" s="153"/>
      <c r="AK39" s="154"/>
      <c r="AL39" s="154"/>
      <c r="AM39" s="351"/>
      <c r="AN39" s="351"/>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row>
    <row r="40" spans="1:70" s="135" customFormat="1" ht="43.5" customHeight="1">
      <c r="A40" s="342"/>
      <c r="B40" s="345"/>
      <c r="C40" s="345"/>
      <c r="D40" s="345"/>
      <c r="E40" s="345"/>
      <c r="F40" s="348"/>
      <c r="G40" s="345"/>
      <c r="H40" s="351"/>
      <c r="I40" s="354"/>
      <c r="J40" s="357"/>
      <c r="K40" s="360"/>
      <c r="L40" s="357">
        <f ca="1">IF(NOT(ISERROR(MATCH(K40,_xlfn.ANCHORARRAY(F51),0))),J53&amp;"Por favor no seleccionar los criterios de impacto",K40)</f>
        <v>0</v>
      </c>
      <c r="M40" s="354"/>
      <c r="N40" s="357"/>
      <c r="O40" s="363"/>
      <c r="P40" s="124">
        <v>4</v>
      </c>
      <c r="Q40" s="117"/>
      <c r="R40" s="125" t="str">
        <f t="shared" si="18"/>
        <v/>
      </c>
      <c r="S40" s="126"/>
      <c r="T40" s="126"/>
      <c r="U40" s="127" t="str">
        <f t="shared" si="35"/>
        <v/>
      </c>
      <c r="V40" s="126"/>
      <c r="W40" s="126"/>
      <c r="X40" s="126"/>
      <c r="Y40" s="128" t="str">
        <f t="shared" ref="Y40:Y42" si="40">IFERROR(IF(AND(R39="Probabilidad",R40="Probabilidad"),(AA39-(+AA39*U40)),IF(AND(R39="Impacto",R40="Probabilidad"),(AA38-(+AA38*U40)),IF(R40="Impacto",AA39,""))),"")</f>
        <v/>
      </c>
      <c r="Z40" s="129" t="str">
        <f t="shared" si="36"/>
        <v/>
      </c>
      <c r="AA40" s="130" t="str">
        <f t="shared" si="37"/>
        <v/>
      </c>
      <c r="AB40" s="129" t="str">
        <f t="shared" si="38"/>
        <v/>
      </c>
      <c r="AC40" s="130" t="str">
        <f t="shared" ref="AC40:AC42" si="41">IFERROR(IF(AND(R39="Impacto",R40="Impacto"),(AC39-(+AC39*U40)),IF(AND(R39="Probabilidad",R40="Impacto"),(AC38-(+AC38*U40)),IF(R40="Probabilidad",AC39,""))),"")</f>
        <v/>
      </c>
      <c r="AD40" s="131"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58"/>
      <c r="AF40" s="159"/>
      <c r="AG40" s="153"/>
      <c r="AH40" s="153"/>
      <c r="AI40" s="153"/>
      <c r="AJ40" s="153"/>
      <c r="AK40" s="154"/>
      <c r="AL40" s="154"/>
      <c r="AM40" s="351"/>
      <c r="AN40" s="351"/>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row>
    <row r="41" spans="1:70" s="135" customFormat="1" ht="43.5" customHeight="1">
      <c r="A41" s="342"/>
      <c r="B41" s="345"/>
      <c r="C41" s="345"/>
      <c r="D41" s="345"/>
      <c r="E41" s="345"/>
      <c r="F41" s="348"/>
      <c r="G41" s="345"/>
      <c r="H41" s="351"/>
      <c r="I41" s="354"/>
      <c r="J41" s="357"/>
      <c r="K41" s="360"/>
      <c r="L41" s="357">
        <f ca="1">IF(NOT(ISERROR(MATCH(K41,_xlfn.ANCHORARRAY(F52),0))),J54&amp;"Por favor no seleccionar los criterios de impacto",K41)</f>
        <v>0</v>
      </c>
      <c r="M41" s="354"/>
      <c r="N41" s="357"/>
      <c r="O41" s="363"/>
      <c r="P41" s="124">
        <v>5</v>
      </c>
      <c r="Q41" s="117"/>
      <c r="R41" s="125" t="str">
        <f t="shared" si="18"/>
        <v/>
      </c>
      <c r="S41" s="126"/>
      <c r="T41" s="126"/>
      <c r="U41" s="127" t="str">
        <f t="shared" si="35"/>
        <v/>
      </c>
      <c r="V41" s="126"/>
      <c r="W41" s="126"/>
      <c r="X41" s="126"/>
      <c r="Y41" s="128" t="str">
        <f t="shared" si="40"/>
        <v/>
      </c>
      <c r="Z41" s="129" t="str">
        <f t="shared" si="36"/>
        <v/>
      </c>
      <c r="AA41" s="130" t="str">
        <f t="shared" si="37"/>
        <v/>
      </c>
      <c r="AB41" s="129" t="str">
        <f t="shared" si="38"/>
        <v/>
      </c>
      <c r="AC41" s="130" t="str">
        <f t="shared" si="41"/>
        <v/>
      </c>
      <c r="AD41" s="131" t="str">
        <f t="shared" ref="AD41:AD42" si="42">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58"/>
      <c r="AF41" s="159"/>
      <c r="AG41" s="153"/>
      <c r="AH41" s="153"/>
      <c r="AI41" s="153"/>
      <c r="AJ41" s="153"/>
      <c r="AK41" s="154"/>
      <c r="AL41" s="154"/>
      <c r="AM41" s="351"/>
      <c r="AN41" s="351"/>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row>
    <row r="42" spans="1:70" s="135" customFormat="1" ht="43.5" customHeight="1">
      <c r="A42" s="343"/>
      <c r="B42" s="346"/>
      <c r="C42" s="346"/>
      <c r="D42" s="346"/>
      <c r="E42" s="346"/>
      <c r="F42" s="349"/>
      <c r="G42" s="346"/>
      <c r="H42" s="352"/>
      <c r="I42" s="355"/>
      <c r="J42" s="358"/>
      <c r="K42" s="361"/>
      <c r="L42" s="358">
        <f ca="1">IF(NOT(ISERROR(MATCH(K42,_xlfn.ANCHORARRAY(F53),0))),J55&amp;"Por favor no seleccionar los criterios de impacto",K42)</f>
        <v>0</v>
      </c>
      <c r="M42" s="355"/>
      <c r="N42" s="358"/>
      <c r="O42" s="364"/>
      <c r="P42" s="124">
        <v>6</v>
      </c>
      <c r="Q42" s="117"/>
      <c r="R42" s="125" t="str">
        <f t="shared" si="18"/>
        <v/>
      </c>
      <c r="S42" s="126"/>
      <c r="T42" s="126"/>
      <c r="U42" s="127" t="str">
        <f t="shared" si="35"/>
        <v/>
      </c>
      <c r="V42" s="126"/>
      <c r="W42" s="126"/>
      <c r="X42" s="126"/>
      <c r="Y42" s="128" t="str">
        <f t="shared" si="40"/>
        <v/>
      </c>
      <c r="Z42" s="129" t="str">
        <f t="shared" si="36"/>
        <v/>
      </c>
      <c r="AA42" s="130" t="str">
        <f t="shared" si="37"/>
        <v/>
      </c>
      <c r="AB42" s="129" t="str">
        <f t="shared" si="38"/>
        <v/>
      </c>
      <c r="AC42" s="130" t="str">
        <f t="shared" si="41"/>
        <v/>
      </c>
      <c r="AD42" s="131" t="str">
        <f t="shared" si="42"/>
        <v/>
      </c>
      <c r="AE42" s="158"/>
      <c r="AF42" s="159"/>
      <c r="AG42" s="153"/>
      <c r="AH42" s="153"/>
      <c r="AI42" s="153"/>
      <c r="AJ42" s="153"/>
      <c r="AK42" s="154"/>
      <c r="AL42" s="154"/>
      <c r="AM42" s="352"/>
      <c r="AN42" s="352"/>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row>
    <row r="43" spans="1:70" s="135" customFormat="1" ht="43.5" customHeight="1">
      <c r="A43" s="341">
        <v>6</v>
      </c>
      <c r="B43" s="344" t="s">
        <v>201</v>
      </c>
      <c r="C43" s="344" t="s">
        <v>123</v>
      </c>
      <c r="D43" s="344" t="s">
        <v>320</v>
      </c>
      <c r="E43" s="344" t="s">
        <v>283</v>
      </c>
      <c r="F43" s="347" t="s">
        <v>319</v>
      </c>
      <c r="G43" s="344" t="s">
        <v>120</v>
      </c>
      <c r="H43" s="350">
        <v>4</v>
      </c>
      <c r="I43" s="353" t="str">
        <f>IF(H43&lt;=0,"",IF(H43&lt;=2,"Muy Baja",IF(H43&lt;=24,"Baja",IF(H43&lt;=500,"Media",IF(H43&lt;=5000,"Alta","Muy Alta")))))</f>
        <v>Baja</v>
      </c>
      <c r="J43" s="356">
        <f>IF(I43="","",IF(I43="Muy Baja",0.2,IF(I43="Baja",0.4,IF(I43="Media",0.6,IF(I43="Alta",0.8,IF(I43="Muy Alta",1,))))))</f>
        <v>0.4</v>
      </c>
      <c r="K43" s="359" t="s">
        <v>142</v>
      </c>
      <c r="L43" s="356" t="str">
        <f ca="1">IF(NOT(ISERROR(MATCH(K43,'Tabla Impacto'!$B$221:$B$223,0))),'Tabla Impacto'!$F$223&amp;"Por favor no seleccionar los criterios de impacto(Afectación Económica o presupuestal y Pérdida Reputacional)",K43)</f>
        <v xml:space="preserve">     El riesgo afecta la imagen de la entidad con algunos usuarios de relevancia frente al logro de los objetivos</v>
      </c>
      <c r="M43" s="353" t="str">
        <f ca="1">IF(OR(L43='Tabla Impacto'!$C$11,L43='Tabla Impacto'!$D$11),"Leve",IF(OR(L43='Tabla Impacto'!$C$12,L43='Tabla Impacto'!$D$12),"Menor",IF(OR(L43='Tabla Impacto'!$C$13,L43='Tabla Impacto'!$D$13),"Moderado",IF(OR(L43='Tabla Impacto'!$C$14,L43='Tabla Impacto'!$D$14),"Mayor",IF(OR(L43='Tabla Impacto'!$C$15,L43='Tabla Impacto'!$D$15),"Catastrófico","")))))</f>
        <v>Moderado</v>
      </c>
      <c r="N43" s="356">
        <f ca="1">IF(M43="","",IF(M43="Leve",0.2,IF(M43="Menor",0.4,IF(M43="Moderado",0.6,IF(M43="Mayor",0.8,IF(M43="Catastrófico",1,))))))</f>
        <v>0.6</v>
      </c>
      <c r="O43" s="362" t="str">
        <f ca="1">IF(OR(AND(I43="Muy Baja",M43="Leve"),AND(I43="Muy Baja",M43="Menor"),AND(I43="Baja",M43="Leve")),"Bajo",IF(OR(AND(I43="Muy baja",M43="Moderado"),AND(I43="Baja",M43="Menor"),AND(I43="Baja",M43="Moderado"),AND(I43="Media",M43="Leve"),AND(I43="Media",M43="Menor"),AND(I43="Media",M43="Moderado"),AND(I43="Alta",M43="Leve"),AND(I43="Alta",M43="Menor")),"Moderado",IF(OR(AND(I43="Muy Baja",M43="Mayor"),AND(I43="Baja",M43="Mayor"),AND(I43="Media",M43="Mayor"),AND(I43="Alta",M43="Moderado"),AND(I43="Alta",M43="Mayor"),AND(I43="Muy Alta",M43="Leve"),AND(I43="Muy Alta",M43="Menor"),AND(I43="Muy Alta",M43="Moderado"),AND(I43="Muy Alta",M43="Mayor")),"Alto",IF(OR(AND(I43="Muy Baja",M43="Catastrófico"),AND(I43="Baja",M43="Catastrófico"),AND(I43="Media",M43="Catastrófico"),AND(I43="Alta",M43="Catastrófico"),AND(I43="Muy Alta",M43="Catastrófico")),"Extremo",""))))</f>
        <v>Moderado</v>
      </c>
      <c r="P43" s="124">
        <v>1</v>
      </c>
      <c r="Q43" s="178" t="s">
        <v>340</v>
      </c>
      <c r="R43" s="125" t="str">
        <f t="shared" si="18"/>
        <v>Probabilidad</v>
      </c>
      <c r="S43" s="170" t="s">
        <v>14</v>
      </c>
      <c r="T43" s="170" t="s">
        <v>9</v>
      </c>
      <c r="U43" s="127" t="str">
        <f>IF(AND(S43="Preventivo",T43="Automático"),"50%",IF(AND(S43="Preventivo",T43="Manual"),"40%",IF(AND(S43="Detectivo",T43="Automático"),"40%",IF(AND(S43="Detectivo",T43="Manual"),"30%",IF(AND(S43="Correctivo",T43="Automático"),"35%",IF(AND(S43="Correctivo",T43="Manual"),"25%",""))))))</f>
        <v>40%</v>
      </c>
      <c r="V43" s="170" t="s">
        <v>19</v>
      </c>
      <c r="W43" s="170" t="s">
        <v>22</v>
      </c>
      <c r="X43" s="170" t="s">
        <v>111</v>
      </c>
      <c r="Y43" s="128">
        <f>IFERROR(IF(R43="Probabilidad",(J43-(+J43*U43)),IF(R43="Impacto",J43,"")),"")</f>
        <v>0.24</v>
      </c>
      <c r="Z43" s="129" t="str">
        <f>IFERROR(IF(Y43="","",IF(Y43&lt;=0.2,"Muy Baja",IF(Y43&lt;=0.4,"Baja",IF(Y43&lt;=0.6,"Media",IF(Y43&lt;=0.8,"Alta","Muy Alta"))))),"")</f>
        <v>Baja</v>
      </c>
      <c r="AA43" s="130">
        <f>+Y43</f>
        <v>0.24</v>
      </c>
      <c r="AB43" s="129" t="str">
        <f ca="1">IFERROR(IF(AC43="","",IF(AC43&lt;=0.2,"Leve",IF(AC43&lt;=0.4,"Menor",IF(AC43&lt;=0.6,"Moderado",IF(AC43&lt;=0.8,"Mayor","Catastrófico"))))),"")</f>
        <v>Moderado</v>
      </c>
      <c r="AC43" s="130">
        <f ca="1">IFERROR(IF(R43="Impacto",(N43-(+N43*U43)),IF(R43="Probabilidad",N43,"")),"")</f>
        <v>0.6</v>
      </c>
      <c r="AD43" s="131" t="str">
        <f ca="1">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Moderado</v>
      </c>
      <c r="AE43" s="158" t="s">
        <v>257</v>
      </c>
      <c r="AF43" s="165" t="s">
        <v>321</v>
      </c>
      <c r="AG43" s="171" t="s">
        <v>284</v>
      </c>
      <c r="AH43" s="171" t="s">
        <v>273</v>
      </c>
      <c r="AI43" s="175" t="s">
        <v>285</v>
      </c>
      <c r="AJ43" s="171" t="s">
        <v>284</v>
      </c>
      <c r="AK43" s="172">
        <v>44637</v>
      </c>
      <c r="AL43" s="172" t="s">
        <v>293</v>
      </c>
      <c r="AM43" s="350">
        <v>4138</v>
      </c>
      <c r="AN43" s="350"/>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row>
    <row r="44" spans="1:70" s="135" customFormat="1" ht="43.5" customHeight="1">
      <c r="A44" s="342"/>
      <c r="B44" s="345"/>
      <c r="C44" s="345"/>
      <c r="D44" s="345"/>
      <c r="E44" s="345"/>
      <c r="F44" s="348"/>
      <c r="G44" s="345"/>
      <c r="H44" s="351"/>
      <c r="I44" s="354"/>
      <c r="J44" s="357"/>
      <c r="K44" s="360"/>
      <c r="L44" s="357">
        <f ca="1">IF(NOT(ISERROR(MATCH(K44,_xlfn.ANCHORARRAY(F55),0))),J57&amp;"Por favor no seleccionar los criterios de impacto",K44)</f>
        <v>0</v>
      </c>
      <c r="M44" s="354"/>
      <c r="N44" s="357"/>
      <c r="O44" s="363"/>
      <c r="P44" s="124">
        <v>2</v>
      </c>
      <c r="Q44" s="178" t="s">
        <v>341</v>
      </c>
      <c r="R44" s="125" t="str">
        <f t="shared" si="18"/>
        <v>Probabilidad</v>
      </c>
      <c r="S44" s="170" t="s">
        <v>15</v>
      </c>
      <c r="T44" s="170" t="s">
        <v>9</v>
      </c>
      <c r="U44" s="127" t="str">
        <f t="shared" ref="U44:U48" si="43">IF(AND(S44="Preventivo",T44="Automático"),"50%",IF(AND(S44="Preventivo",T44="Manual"),"40%",IF(AND(S44="Detectivo",T44="Automático"),"40%",IF(AND(S44="Detectivo",T44="Manual"),"30%",IF(AND(S44="Correctivo",T44="Automático"),"35%",IF(AND(S44="Correctivo",T44="Manual"),"25%",""))))))</f>
        <v>30%</v>
      </c>
      <c r="V44" s="170" t="s">
        <v>19</v>
      </c>
      <c r="W44" s="170" t="s">
        <v>22</v>
      </c>
      <c r="X44" s="170" t="s">
        <v>111</v>
      </c>
      <c r="Y44" s="128">
        <f>IFERROR(IF(AND(R43="Probabilidad",R44="Probabilidad"),(AA43-(+AA43*U44)),IF(R44="Probabilidad",(J43-(+J43*U44)),IF(R44="Impacto",AA43,""))),"")</f>
        <v>0.16799999999999998</v>
      </c>
      <c r="Z44" s="129" t="str">
        <f t="shared" ref="Z44:Z48" si="44">IFERROR(IF(Y44="","",IF(Y44&lt;=0.2,"Muy Baja",IF(Y44&lt;=0.4,"Baja",IF(Y44&lt;=0.6,"Media",IF(Y44&lt;=0.8,"Alta","Muy Alta"))))),"")</f>
        <v>Muy Baja</v>
      </c>
      <c r="AA44" s="130">
        <f t="shared" ref="AA44:AA48" si="45">+Y44</f>
        <v>0.16799999999999998</v>
      </c>
      <c r="AB44" s="129" t="str">
        <f t="shared" ref="AB44:AB48" ca="1" si="46">IFERROR(IF(AC44="","",IF(AC44&lt;=0.2,"Leve",IF(AC44&lt;=0.4,"Menor",IF(AC44&lt;=0.6,"Moderado",IF(AC44&lt;=0.8,"Mayor","Catastrófico"))))),"")</f>
        <v>Moderado</v>
      </c>
      <c r="AC44" s="130">
        <f ca="1">IFERROR(IF(AND(R43="Impacto",R44="Impacto"),(AC43-(+AC43*U44)),IF(R44="Impacto",(N43-(+N43*U44)),IF(R44="Probabilidad",AC43,""))),"")</f>
        <v>0.6</v>
      </c>
      <c r="AD44" s="131" t="str">
        <f t="shared" ref="AD44:AD45" ca="1" si="47">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73" t="s">
        <v>257</v>
      </c>
      <c r="AF44" s="165" t="s">
        <v>322</v>
      </c>
      <c r="AG44" s="171" t="s">
        <v>284</v>
      </c>
      <c r="AH44" s="171" t="s">
        <v>273</v>
      </c>
      <c r="AI44" s="175" t="s">
        <v>285</v>
      </c>
      <c r="AJ44" s="171" t="s">
        <v>284</v>
      </c>
      <c r="AK44" s="172">
        <v>44637</v>
      </c>
      <c r="AL44" s="172" t="s">
        <v>293</v>
      </c>
      <c r="AM44" s="351"/>
      <c r="AN44" s="351"/>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row>
    <row r="45" spans="1:70" s="135" customFormat="1" ht="43.5" customHeight="1">
      <c r="A45" s="342"/>
      <c r="B45" s="345"/>
      <c r="C45" s="345"/>
      <c r="D45" s="345"/>
      <c r="E45" s="345"/>
      <c r="F45" s="348"/>
      <c r="G45" s="345"/>
      <c r="H45" s="351"/>
      <c r="I45" s="354"/>
      <c r="J45" s="357"/>
      <c r="K45" s="360"/>
      <c r="L45" s="357">
        <f ca="1">IF(NOT(ISERROR(MATCH(K45,_xlfn.ANCHORARRAY(F56),0))),J58&amp;"Por favor no seleccionar los criterios de impacto",K45)</f>
        <v>0</v>
      </c>
      <c r="M45" s="354"/>
      <c r="N45" s="357"/>
      <c r="O45" s="363"/>
      <c r="P45" s="124">
        <v>3</v>
      </c>
      <c r="Q45" s="179" t="s">
        <v>328</v>
      </c>
      <c r="R45" s="125" t="str">
        <f t="shared" si="18"/>
        <v>Impacto</v>
      </c>
      <c r="S45" s="170" t="s">
        <v>16</v>
      </c>
      <c r="T45" s="170" t="s">
        <v>9</v>
      </c>
      <c r="U45" s="127" t="str">
        <f t="shared" si="43"/>
        <v>25%</v>
      </c>
      <c r="V45" s="170" t="s">
        <v>19</v>
      </c>
      <c r="W45" s="170" t="s">
        <v>22</v>
      </c>
      <c r="X45" s="170" t="s">
        <v>111</v>
      </c>
      <c r="Y45" s="128">
        <f>IFERROR(IF(AND(R44="Probabilidad",R45="Probabilidad"),(AA44-(+AA44*U45)),IF(AND(R44="Impacto",R45="Probabilidad"),(AA43-(+AA43*U45)),IF(R45="Impacto",AA44,""))),"")</f>
        <v>0.16799999999999998</v>
      </c>
      <c r="Z45" s="129" t="str">
        <f t="shared" si="44"/>
        <v>Muy Baja</v>
      </c>
      <c r="AA45" s="130">
        <f t="shared" si="45"/>
        <v>0.16799999999999998</v>
      </c>
      <c r="AB45" s="129" t="str">
        <f t="shared" ca="1" si="46"/>
        <v>Moderado</v>
      </c>
      <c r="AC45" s="130">
        <f ca="1">IFERROR(IF(AND(R44="Impacto",R45="Impacto"),(AC44-(+AC44*U45)),IF(AND(R44="Probabilidad",R45="Impacto"),(AC43-(+AC43*U45)),IF(R45="Probabilidad",AC44,""))),"")</f>
        <v>0.44999999999999996</v>
      </c>
      <c r="AD45" s="131" t="str">
        <f t="shared" ca="1" si="47"/>
        <v>Moderado</v>
      </c>
      <c r="AE45" s="173" t="s">
        <v>257</v>
      </c>
      <c r="AF45" s="166" t="s">
        <v>316</v>
      </c>
      <c r="AG45" s="171" t="s">
        <v>284</v>
      </c>
      <c r="AH45" s="171" t="s">
        <v>273</v>
      </c>
      <c r="AI45" s="175" t="s">
        <v>285</v>
      </c>
      <c r="AJ45" s="171" t="s">
        <v>284</v>
      </c>
      <c r="AK45" s="172">
        <v>44637</v>
      </c>
      <c r="AL45" s="172" t="s">
        <v>293</v>
      </c>
      <c r="AM45" s="351"/>
      <c r="AN45" s="351"/>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row>
    <row r="46" spans="1:70" s="135" customFormat="1" ht="43.5" customHeight="1">
      <c r="A46" s="342"/>
      <c r="B46" s="345"/>
      <c r="C46" s="345"/>
      <c r="D46" s="345"/>
      <c r="E46" s="345"/>
      <c r="F46" s="348"/>
      <c r="G46" s="345"/>
      <c r="H46" s="351"/>
      <c r="I46" s="354"/>
      <c r="J46" s="357"/>
      <c r="K46" s="360"/>
      <c r="L46" s="357">
        <f ca="1">IF(NOT(ISERROR(MATCH(K46,_xlfn.ANCHORARRAY(F57),0))),J59&amp;"Por favor no seleccionar los criterios de impacto",K46)</f>
        <v>0</v>
      </c>
      <c r="M46" s="354"/>
      <c r="N46" s="357"/>
      <c r="O46" s="363"/>
      <c r="P46" s="124">
        <v>4</v>
      </c>
      <c r="Q46" s="117"/>
      <c r="R46" s="125" t="str">
        <f t="shared" si="18"/>
        <v/>
      </c>
      <c r="S46" s="126"/>
      <c r="T46" s="126"/>
      <c r="U46" s="127" t="str">
        <f t="shared" si="43"/>
        <v/>
      </c>
      <c r="V46" s="126"/>
      <c r="W46" s="126"/>
      <c r="X46" s="126"/>
      <c r="Y46" s="128" t="str">
        <f t="shared" ref="Y46:Y48" si="48">IFERROR(IF(AND(R45="Probabilidad",R46="Probabilidad"),(AA45-(+AA45*U46)),IF(AND(R45="Impacto",R46="Probabilidad"),(AA44-(+AA44*U46)),IF(R46="Impacto",AA45,""))),"")</f>
        <v/>
      </c>
      <c r="Z46" s="129" t="str">
        <f t="shared" si="44"/>
        <v/>
      </c>
      <c r="AA46" s="130" t="str">
        <f t="shared" si="45"/>
        <v/>
      </c>
      <c r="AB46" s="129" t="str">
        <f t="shared" si="46"/>
        <v/>
      </c>
      <c r="AC46" s="130" t="str">
        <f t="shared" ref="AC46:AC48" si="49">IFERROR(IF(AND(R45="Impacto",R46="Impacto"),(AC45-(+AC45*U46)),IF(AND(R45="Probabilidad",R46="Impacto"),(AC44-(+AC44*U46)),IF(R46="Probabilidad",AC45,""))),"")</f>
        <v/>
      </c>
      <c r="AD46" s="131"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58"/>
      <c r="AF46" s="159"/>
      <c r="AG46" s="153"/>
      <c r="AH46" s="153"/>
      <c r="AI46" s="153"/>
      <c r="AJ46" s="153"/>
      <c r="AK46" s="154"/>
      <c r="AL46" s="154"/>
      <c r="AM46" s="351"/>
      <c r="AN46" s="351"/>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row>
    <row r="47" spans="1:70" s="135" customFormat="1" ht="43.5" customHeight="1">
      <c r="A47" s="342"/>
      <c r="B47" s="345"/>
      <c r="C47" s="345"/>
      <c r="D47" s="345"/>
      <c r="E47" s="345"/>
      <c r="F47" s="348"/>
      <c r="G47" s="345"/>
      <c r="H47" s="351"/>
      <c r="I47" s="354"/>
      <c r="J47" s="357"/>
      <c r="K47" s="360"/>
      <c r="L47" s="357">
        <f ca="1">IF(NOT(ISERROR(MATCH(K47,_xlfn.ANCHORARRAY(F58),0))),J60&amp;"Por favor no seleccionar los criterios de impacto",K47)</f>
        <v>0</v>
      </c>
      <c r="M47" s="354"/>
      <c r="N47" s="357"/>
      <c r="O47" s="363"/>
      <c r="P47" s="124">
        <v>5</v>
      </c>
      <c r="Q47" s="117"/>
      <c r="R47" s="125" t="str">
        <f t="shared" si="18"/>
        <v/>
      </c>
      <c r="S47" s="126"/>
      <c r="T47" s="126"/>
      <c r="U47" s="127" t="str">
        <f t="shared" si="43"/>
        <v/>
      </c>
      <c r="V47" s="126"/>
      <c r="W47" s="126"/>
      <c r="X47" s="126"/>
      <c r="Y47" s="128" t="str">
        <f t="shared" si="48"/>
        <v/>
      </c>
      <c r="Z47" s="129" t="str">
        <f t="shared" si="44"/>
        <v/>
      </c>
      <c r="AA47" s="130" t="str">
        <f t="shared" si="45"/>
        <v/>
      </c>
      <c r="AB47" s="129" t="str">
        <f t="shared" si="46"/>
        <v/>
      </c>
      <c r="AC47" s="130" t="str">
        <f t="shared" si="49"/>
        <v/>
      </c>
      <c r="AD47" s="131" t="str">
        <f t="shared" ref="AD47:AD48" si="50">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58"/>
      <c r="AF47" s="159"/>
      <c r="AG47" s="153"/>
      <c r="AH47" s="153"/>
      <c r="AI47" s="153"/>
      <c r="AJ47" s="153"/>
      <c r="AK47" s="154"/>
      <c r="AL47" s="154"/>
      <c r="AM47" s="351"/>
      <c r="AN47" s="351"/>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row>
    <row r="48" spans="1:70" s="135" customFormat="1" ht="43.5" customHeight="1">
      <c r="A48" s="343"/>
      <c r="B48" s="346"/>
      <c r="C48" s="346"/>
      <c r="D48" s="346"/>
      <c r="E48" s="346"/>
      <c r="F48" s="349"/>
      <c r="G48" s="346"/>
      <c r="H48" s="352"/>
      <c r="I48" s="355"/>
      <c r="J48" s="358"/>
      <c r="K48" s="361"/>
      <c r="L48" s="358">
        <f ca="1">IF(NOT(ISERROR(MATCH(K48,_xlfn.ANCHORARRAY(F59),0))),J61&amp;"Por favor no seleccionar los criterios de impacto",K48)</f>
        <v>0</v>
      </c>
      <c r="M48" s="355"/>
      <c r="N48" s="358"/>
      <c r="O48" s="364"/>
      <c r="P48" s="124">
        <v>6</v>
      </c>
      <c r="Q48" s="117"/>
      <c r="R48" s="125" t="str">
        <f t="shared" si="18"/>
        <v/>
      </c>
      <c r="S48" s="126"/>
      <c r="T48" s="126"/>
      <c r="U48" s="127" t="str">
        <f t="shared" si="43"/>
        <v/>
      </c>
      <c r="V48" s="126"/>
      <c r="W48" s="126"/>
      <c r="X48" s="126"/>
      <c r="Y48" s="128" t="str">
        <f t="shared" si="48"/>
        <v/>
      </c>
      <c r="Z48" s="129" t="str">
        <f t="shared" si="44"/>
        <v/>
      </c>
      <c r="AA48" s="130" t="str">
        <f t="shared" si="45"/>
        <v/>
      </c>
      <c r="AB48" s="129" t="str">
        <f t="shared" si="46"/>
        <v/>
      </c>
      <c r="AC48" s="130" t="str">
        <f t="shared" si="49"/>
        <v/>
      </c>
      <c r="AD48" s="131" t="str">
        <f t="shared" si="50"/>
        <v/>
      </c>
      <c r="AE48" s="158"/>
      <c r="AF48" s="159"/>
      <c r="AG48" s="153"/>
      <c r="AH48" s="153"/>
      <c r="AI48" s="153"/>
      <c r="AJ48" s="153"/>
      <c r="AK48" s="154"/>
      <c r="AL48" s="154"/>
      <c r="AM48" s="352"/>
      <c r="AN48" s="352"/>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row>
    <row r="49" spans="1:70" s="135" customFormat="1" ht="43.5" customHeight="1">
      <c r="A49" s="341">
        <v>7</v>
      </c>
      <c r="B49" s="344" t="s">
        <v>201</v>
      </c>
      <c r="C49" s="344" t="s">
        <v>125</v>
      </c>
      <c r="D49" s="344" t="s">
        <v>287</v>
      </c>
      <c r="E49" s="344" t="s">
        <v>288</v>
      </c>
      <c r="F49" s="347" t="s">
        <v>289</v>
      </c>
      <c r="G49" s="344" t="s">
        <v>115</v>
      </c>
      <c r="H49" s="350">
        <v>4</v>
      </c>
      <c r="I49" s="353" t="str">
        <f>IF(H49&lt;=0,"",IF(H49&lt;=2,"Muy Baja",IF(H49&lt;=24,"Baja",IF(H49&lt;=500,"Media",IF(H49&lt;=5000,"Alta","Muy Alta")))))</f>
        <v>Baja</v>
      </c>
      <c r="J49" s="356">
        <f>IF(I49="","",IF(I49="Muy Baja",0.2,IF(I49="Baja",0.4,IF(I49="Media",0.6,IF(I49="Alta",0.8,IF(I49="Muy Alta",1,))))))</f>
        <v>0.4</v>
      </c>
      <c r="K49" s="359" t="s">
        <v>142</v>
      </c>
      <c r="L49" s="356" t="str">
        <f ca="1">IF(NOT(ISERROR(MATCH(K49,'Tabla Impacto'!$B$221:$B$223,0))),'Tabla Impacto'!$F$223&amp;"Por favor no seleccionar los criterios de impacto(Afectación Económica o presupuestal y Pérdida Reputacional)",K49)</f>
        <v xml:space="preserve">     El riesgo afecta la imagen de la entidad con algunos usuarios de relevancia frente al logro de los objetivos</v>
      </c>
      <c r="M49" s="353" t="str">
        <f ca="1">IF(OR(L49='Tabla Impacto'!$C$11,L49='Tabla Impacto'!$D$11),"Leve",IF(OR(L49='Tabla Impacto'!$C$12,L49='Tabla Impacto'!$D$12),"Menor",IF(OR(L49='Tabla Impacto'!$C$13,L49='Tabla Impacto'!$D$13),"Moderado",IF(OR(L49='Tabla Impacto'!$C$14,L49='Tabla Impacto'!$D$14),"Mayor",IF(OR(L49='Tabla Impacto'!$C$15,L49='Tabla Impacto'!$D$15),"Catastrófico","")))))</f>
        <v>Moderado</v>
      </c>
      <c r="N49" s="356">
        <f ca="1">IF(M49="","",IF(M49="Leve",0.2,IF(M49="Menor",0.4,IF(M49="Moderado",0.6,IF(M49="Mayor",0.8,IF(M49="Catastrófico",1,))))))</f>
        <v>0.6</v>
      </c>
      <c r="O49" s="362" t="str">
        <f ca="1">IF(OR(AND(I49="Muy Baja",M49="Leve"),AND(I49="Muy Baja",M49="Menor"),AND(I49="Baja",M49="Leve")),"Bajo",IF(OR(AND(I49="Muy baja",M49="Moderado"),AND(I49="Baja",M49="Menor"),AND(I49="Baja",M49="Moderado"),AND(I49="Media",M49="Leve"),AND(I49="Media",M49="Menor"),AND(I49="Media",M49="Moderado"),AND(I49="Alta",M49="Leve"),AND(I49="Alta",M49="Menor")),"Moderado",IF(OR(AND(I49="Muy Baja",M49="Mayor"),AND(I49="Baja",M49="Mayor"),AND(I49="Media",M49="Mayor"),AND(I49="Alta",M49="Moderado"),AND(I49="Alta",M49="Mayor"),AND(I49="Muy Alta",M49="Leve"),AND(I49="Muy Alta",M49="Menor"),AND(I49="Muy Alta",M49="Moderado"),AND(I49="Muy Alta",M49="Mayor")),"Alto",IF(OR(AND(I49="Muy Baja",M49="Catastrófico"),AND(I49="Baja",M49="Catastrófico"),AND(I49="Media",M49="Catastrófico"),AND(I49="Alta",M49="Catastrófico"),AND(I49="Muy Alta",M49="Catastrófico")),"Extremo",""))))</f>
        <v>Moderado</v>
      </c>
      <c r="P49" s="124">
        <v>1</v>
      </c>
      <c r="Q49" s="169" t="s">
        <v>314</v>
      </c>
      <c r="R49" s="125" t="str">
        <f t="shared" si="18"/>
        <v>Probabilidad</v>
      </c>
      <c r="S49" s="126" t="s">
        <v>14</v>
      </c>
      <c r="T49" s="126" t="s">
        <v>9</v>
      </c>
      <c r="U49" s="127" t="str">
        <f>IF(AND(S49="Preventivo",T49="Automático"),"50%",IF(AND(S49="Preventivo",T49="Manual"),"40%",IF(AND(S49="Detectivo",T49="Automático"),"40%",IF(AND(S49="Detectivo",T49="Manual"),"30%",IF(AND(S49="Correctivo",T49="Automático"),"35%",IF(AND(S49="Correctivo",T49="Manual"),"25%",""))))))</f>
        <v>40%</v>
      </c>
      <c r="V49" s="126" t="s">
        <v>19</v>
      </c>
      <c r="W49" s="126" t="s">
        <v>22</v>
      </c>
      <c r="X49" s="126" t="s">
        <v>111</v>
      </c>
      <c r="Y49" s="128">
        <f>IFERROR(IF(R49="Probabilidad",(J49-(+J49*U49)),IF(R49="Impacto",J49,"")),"")</f>
        <v>0.24</v>
      </c>
      <c r="Z49" s="129" t="str">
        <f>IFERROR(IF(Y49="","",IF(Y49&lt;=0.2,"Muy Baja",IF(Y49&lt;=0.4,"Baja",IF(Y49&lt;=0.6,"Media",IF(Y49&lt;=0.8,"Alta","Muy Alta"))))),"")</f>
        <v>Baja</v>
      </c>
      <c r="AA49" s="130">
        <f>+Y49</f>
        <v>0.24</v>
      </c>
      <c r="AB49" s="129" t="str">
        <f ca="1">IFERROR(IF(AC49="","",IF(AC49&lt;=0.2,"Leve",IF(AC49&lt;=0.4,"Menor",IF(AC49&lt;=0.6,"Moderado",IF(AC49&lt;=0.8,"Mayor","Catastrófico"))))),"")</f>
        <v>Moderado</v>
      </c>
      <c r="AC49" s="130">
        <f ca="1">IFERROR(IF(R49="Impacto",(N49-(+N49*U49)),IF(R49="Probabilidad",N49,"")),"")</f>
        <v>0.6</v>
      </c>
      <c r="AD49" s="131" t="str">
        <f ca="1">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58" t="s">
        <v>257</v>
      </c>
      <c r="AF49" s="174" t="s">
        <v>315</v>
      </c>
      <c r="AG49" s="171" t="s">
        <v>290</v>
      </c>
      <c r="AH49" s="171" t="s">
        <v>291</v>
      </c>
      <c r="AI49" s="175" t="s">
        <v>292</v>
      </c>
      <c r="AJ49" s="171" t="s">
        <v>290</v>
      </c>
      <c r="AK49" s="154">
        <v>44701</v>
      </c>
      <c r="AL49" s="172" t="s">
        <v>286</v>
      </c>
      <c r="AM49" s="350">
        <v>4140</v>
      </c>
      <c r="AN49" s="350"/>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row>
    <row r="50" spans="1:70" s="135" customFormat="1" ht="43.5" customHeight="1">
      <c r="A50" s="342"/>
      <c r="B50" s="345"/>
      <c r="C50" s="345"/>
      <c r="D50" s="345"/>
      <c r="E50" s="345"/>
      <c r="F50" s="348"/>
      <c r="G50" s="345"/>
      <c r="H50" s="351"/>
      <c r="I50" s="354"/>
      <c r="J50" s="357"/>
      <c r="K50" s="360"/>
      <c r="L50" s="357">
        <f ca="1">IF(NOT(ISERROR(MATCH(K50,_xlfn.ANCHORARRAY(F61),0))),J63&amp;"Por favor no seleccionar los criterios de impacto",K50)</f>
        <v>0</v>
      </c>
      <c r="M50" s="354"/>
      <c r="N50" s="357"/>
      <c r="O50" s="363"/>
      <c r="P50" s="124">
        <v>2</v>
      </c>
      <c r="Q50" s="117"/>
      <c r="R50" s="125" t="str">
        <f t="shared" si="18"/>
        <v/>
      </c>
      <c r="S50" s="126"/>
      <c r="T50" s="126"/>
      <c r="U50" s="127" t="str">
        <f t="shared" ref="U50:U54" si="51">IF(AND(S50="Preventivo",T50="Automático"),"50%",IF(AND(S50="Preventivo",T50="Manual"),"40%",IF(AND(S50="Detectivo",T50="Automático"),"40%",IF(AND(S50="Detectivo",T50="Manual"),"30%",IF(AND(S50="Correctivo",T50="Automático"),"35%",IF(AND(S50="Correctivo",T50="Manual"),"25%",""))))))</f>
        <v/>
      </c>
      <c r="V50" s="126"/>
      <c r="W50" s="126"/>
      <c r="X50" s="126"/>
      <c r="Y50" s="128" t="str">
        <f>IFERROR(IF(AND(R49="Probabilidad",R50="Probabilidad"),(AA49-(+AA49*U50)),IF(R50="Probabilidad",(J49-(+J49*U50)),IF(R50="Impacto",AA49,""))),"")</f>
        <v/>
      </c>
      <c r="Z50" s="129" t="str">
        <f t="shared" ref="Z50:Z54" si="52">IFERROR(IF(Y50="","",IF(Y50&lt;=0.2,"Muy Baja",IF(Y50&lt;=0.4,"Baja",IF(Y50&lt;=0.6,"Media",IF(Y50&lt;=0.8,"Alta","Muy Alta"))))),"")</f>
        <v/>
      </c>
      <c r="AA50" s="130" t="str">
        <f t="shared" ref="AA50:AA54" si="53">+Y50</f>
        <v/>
      </c>
      <c r="AB50" s="129" t="str">
        <f t="shared" ref="AB50:AB54" si="54">IFERROR(IF(AC50="","",IF(AC50&lt;=0.2,"Leve",IF(AC50&lt;=0.4,"Menor",IF(AC50&lt;=0.6,"Moderado",IF(AC50&lt;=0.8,"Mayor","Catastrófico"))))),"")</f>
        <v/>
      </c>
      <c r="AC50" s="130" t="str">
        <f>IFERROR(IF(AND(R49="Impacto",R50="Impacto"),(AC49-(+AC49*U50)),IF(R50="Impacto",(N49-(+N49*U50)),IF(R50="Probabilidad",AC49,""))),"")</f>
        <v/>
      </c>
      <c r="AD50" s="131" t="str">
        <f t="shared" ref="AD50:AD51" si="55">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58"/>
      <c r="AF50" s="159"/>
      <c r="AG50" s="153"/>
      <c r="AH50" s="153"/>
      <c r="AI50" s="153"/>
      <c r="AJ50" s="153"/>
      <c r="AK50" s="154"/>
      <c r="AL50" s="154"/>
      <c r="AM50" s="351"/>
      <c r="AN50" s="351"/>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row>
    <row r="51" spans="1:70" s="135" customFormat="1" ht="43.5" customHeight="1">
      <c r="A51" s="342"/>
      <c r="B51" s="345"/>
      <c r="C51" s="345"/>
      <c r="D51" s="345"/>
      <c r="E51" s="345"/>
      <c r="F51" s="348"/>
      <c r="G51" s="345"/>
      <c r="H51" s="351"/>
      <c r="I51" s="354"/>
      <c r="J51" s="357"/>
      <c r="K51" s="360"/>
      <c r="L51" s="357">
        <f ca="1">IF(NOT(ISERROR(MATCH(K51,_xlfn.ANCHORARRAY(F62),0))),J64&amp;"Por favor no seleccionar los criterios de impacto",K51)</f>
        <v>0</v>
      </c>
      <c r="M51" s="354"/>
      <c r="N51" s="357"/>
      <c r="O51" s="363"/>
      <c r="P51" s="124">
        <v>3</v>
      </c>
      <c r="Q51" s="118"/>
      <c r="R51" s="125" t="str">
        <f t="shared" si="18"/>
        <v/>
      </c>
      <c r="S51" s="126"/>
      <c r="T51" s="126"/>
      <c r="U51" s="127" t="str">
        <f t="shared" si="51"/>
        <v/>
      </c>
      <c r="V51" s="126"/>
      <c r="W51" s="126"/>
      <c r="X51" s="126"/>
      <c r="Y51" s="128" t="str">
        <f>IFERROR(IF(AND(R50="Probabilidad",R51="Probabilidad"),(AA50-(+AA50*U51)),IF(AND(R50="Impacto",R51="Probabilidad"),(AA49-(+AA49*U51)),IF(R51="Impacto",AA50,""))),"")</f>
        <v/>
      </c>
      <c r="Z51" s="129" t="str">
        <f t="shared" si="52"/>
        <v/>
      </c>
      <c r="AA51" s="130" t="str">
        <f t="shared" si="53"/>
        <v/>
      </c>
      <c r="AB51" s="129" t="str">
        <f t="shared" si="54"/>
        <v/>
      </c>
      <c r="AC51" s="130" t="str">
        <f>IFERROR(IF(AND(R50="Impacto",R51="Impacto"),(AC50-(+AC50*U51)),IF(AND(R50="Probabilidad",R51="Impacto"),(AC49-(+AC49*U51)),IF(R51="Probabilidad",AC50,""))),"")</f>
        <v/>
      </c>
      <c r="AD51" s="131" t="str">
        <f t="shared" si="55"/>
        <v/>
      </c>
      <c r="AE51" s="158"/>
      <c r="AF51" s="159"/>
      <c r="AG51" s="153"/>
      <c r="AH51" s="153"/>
      <c r="AI51" s="153"/>
      <c r="AJ51" s="153"/>
      <c r="AK51" s="154"/>
      <c r="AL51" s="154"/>
      <c r="AM51" s="351"/>
      <c r="AN51" s="351"/>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row>
    <row r="52" spans="1:70" s="135" customFormat="1" ht="43.5" customHeight="1">
      <c r="A52" s="342"/>
      <c r="B52" s="345"/>
      <c r="C52" s="345"/>
      <c r="D52" s="345"/>
      <c r="E52" s="345"/>
      <c r="F52" s="348"/>
      <c r="G52" s="345"/>
      <c r="H52" s="351"/>
      <c r="I52" s="354"/>
      <c r="J52" s="357"/>
      <c r="K52" s="360"/>
      <c r="L52" s="357">
        <f ca="1">IF(NOT(ISERROR(MATCH(K52,_xlfn.ANCHORARRAY(F63),0))),J65&amp;"Por favor no seleccionar los criterios de impacto",K52)</f>
        <v>0</v>
      </c>
      <c r="M52" s="354"/>
      <c r="N52" s="357"/>
      <c r="O52" s="363"/>
      <c r="P52" s="124">
        <v>4</v>
      </c>
      <c r="Q52" s="117"/>
      <c r="R52" s="125" t="str">
        <f t="shared" si="18"/>
        <v/>
      </c>
      <c r="S52" s="126"/>
      <c r="T52" s="126"/>
      <c r="U52" s="127" t="str">
        <f t="shared" si="51"/>
        <v/>
      </c>
      <c r="V52" s="126"/>
      <c r="W52" s="126"/>
      <c r="X52" s="126"/>
      <c r="Y52" s="128" t="str">
        <f t="shared" ref="Y52:Y54" si="56">IFERROR(IF(AND(R51="Probabilidad",R52="Probabilidad"),(AA51-(+AA51*U52)),IF(AND(R51="Impacto",R52="Probabilidad"),(AA50-(+AA50*U52)),IF(R52="Impacto",AA51,""))),"")</f>
        <v/>
      </c>
      <c r="Z52" s="129" t="str">
        <f t="shared" si="52"/>
        <v/>
      </c>
      <c r="AA52" s="130" t="str">
        <f t="shared" si="53"/>
        <v/>
      </c>
      <c r="AB52" s="129" t="str">
        <f t="shared" si="54"/>
        <v/>
      </c>
      <c r="AC52" s="130" t="str">
        <f t="shared" ref="AC52:AC54" si="57">IFERROR(IF(AND(R51="Impacto",R52="Impacto"),(AC51-(+AC51*U52)),IF(AND(R51="Probabilidad",R52="Impacto"),(AC50-(+AC50*U52)),IF(R52="Probabilidad",AC51,""))),"")</f>
        <v/>
      </c>
      <c r="AD52" s="131"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58"/>
      <c r="AF52" s="159"/>
      <c r="AG52" s="153"/>
      <c r="AH52" s="153"/>
      <c r="AI52" s="153"/>
      <c r="AJ52" s="153"/>
      <c r="AK52" s="154"/>
      <c r="AL52" s="154"/>
      <c r="AM52" s="351"/>
      <c r="AN52" s="351"/>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row>
    <row r="53" spans="1:70" s="135" customFormat="1" ht="43.5" customHeight="1">
      <c r="A53" s="342"/>
      <c r="B53" s="345"/>
      <c r="C53" s="345"/>
      <c r="D53" s="345"/>
      <c r="E53" s="345"/>
      <c r="F53" s="348"/>
      <c r="G53" s="345"/>
      <c r="H53" s="351"/>
      <c r="I53" s="354"/>
      <c r="J53" s="357"/>
      <c r="K53" s="360"/>
      <c r="L53" s="357">
        <f ca="1">IF(NOT(ISERROR(MATCH(K53,_xlfn.ANCHORARRAY(F64),0))),J66&amp;"Por favor no seleccionar los criterios de impacto",K53)</f>
        <v>0</v>
      </c>
      <c r="M53" s="354"/>
      <c r="N53" s="357"/>
      <c r="O53" s="363"/>
      <c r="P53" s="124">
        <v>5</v>
      </c>
      <c r="Q53" s="117"/>
      <c r="R53" s="125" t="str">
        <f t="shared" si="18"/>
        <v/>
      </c>
      <c r="S53" s="126"/>
      <c r="T53" s="126"/>
      <c r="U53" s="127" t="str">
        <f t="shared" si="51"/>
        <v/>
      </c>
      <c r="V53" s="126"/>
      <c r="W53" s="126"/>
      <c r="X53" s="126"/>
      <c r="Y53" s="128" t="str">
        <f t="shared" si="56"/>
        <v/>
      </c>
      <c r="Z53" s="129" t="str">
        <f t="shared" si="52"/>
        <v/>
      </c>
      <c r="AA53" s="130" t="str">
        <f t="shared" si="53"/>
        <v/>
      </c>
      <c r="AB53" s="129" t="str">
        <f t="shared" si="54"/>
        <v/>
      </c>
      <c r="AC53" s="130" t="str">
        <f t="shared" si="57"/>
        <v/>
      </c>
      <c r="AD53" s="131" t="str">
        <f t="shared" ref="AD53:AD54" si="58">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58"/>
      <c r="AF53" s="159"/>
      <c r="AG53" s="153"/>
      <c r="AH53" s="153"/>
      <c r="AI53" s="153"/>
      <c r="AJ53" s="153"/>
      <c r="AK53" s="154"/>
      <c r="AL53" s="154"/>
      <c r="AM53" s="351"/>
      <c r="AN53" s="351"/>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row>
    <row r="54" spans="1:70" s="135" customFormat="1" ht="43.5" customHeight="1">
      <c r="A54" s="343"/>
      <c r="B54" s="346"/>
      <c r="C54" s="346"/>
      <c r="D54" s="346"/>
      <c r="E54" s="346"/>
      <c r="F54" s="349"/>
      <c r="G54" s="346"/>
      <c r="H54" s="352"/>
      <c r="I54" s="355"/>
      <c r="J54" s="358"/>
      <c r="K54" s="361"/>
      <c r="L54" s="358">
        <f ca="1">IF(NOT(ISERROR(MATCH(K54,_xlfn.ANCHORARRAY(F65),0))),J67&amp;"Por favor no seleccionar los criterios de impacto",K54)</f>
        <v>0</v>
      </c>
      <c r="M54" s="355"/>
      <c r="N54" s="358"/>
      <c r="O54" s="364"/>
      <c r="P54" s="124">
        <v>6</v>
      </c>
      <c r="Q54" s="117"/>
      <c r="R54" s="125" t="str">
        <f t="shared" si="18"/>
        <v/>
      </c>
      <c r="S54" s="126"/>
      <c r="T54" s="126"/>
      <c r="U54" s="127" t="str">
        <f t="shared" si="51"/>
        <v/>
      </c>
      <c r="V54" s="126"/>
      <c r="W54" s="126"/>
      <c r="X54" s="126"/>
      <c r="Y54" s="128" t="str">
        <f t="shared" si="56"/>
        <v/>
      </c>
      <c r="Z54" s="129" t="str">
        <f t="shared" si="52"/>
        <v/>
      </c>
      <c r="AA54" s="130" t="str">
        <f t="shared" si="53"/>
        <v/>
      </c>
      <c r="AB54" s="129" t="str">
        <f t="shared" si="54"/>
        <v/>
      </c>
      <c r="AC54" s="130" t="str">
        <f t="shared" si="57"/>
        <v/>
      </c>
      <c r="AD54" s="131" t="str">
        <f t="shared" si="58"/>
        <v/>
      </c>
      <c r="AE54" s="158"/>
      <c r="AF54" s="159"/>
      <c r="AG54" s="153"/>
      <c r="AH54" s="153"/>
      <c r="AI54" s="153"/>
      <c r="AJ54" s="153"/>
      <c r="AK54" s="154"/>
      <c r="AL54" s="154"/>
      <c r="AM54" s="352"/>
      <c r="AN54" s="352"/>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row>
    <row r="55" spans="1:70" s="135" customFormat="1" ht="43.5" customHeight="1">
      <c r="A55" s="341">
        <v>8</v>
      </c>
      <c r="B55" s="344" t="s">
        <v>201</v>
      </c>
      <c r="C55" s="344" t="s">
        <v>125</v>
      </c>
      <c r="D55" s="344" t="s">
        <v>294</v>
      </c>
      <c r="E55" s="344" t="s">
        <v>295</v>
      </c>
      <c r="F55" s="347" t="s">
        <v>296</v>
      </c>
      <c r="G55" s="344" t="s">
        <v>120</v>
      </c>
      <c r="H55" s="350">
        <v>2</v>
      </c>
      <c r="I55" s="353" t="str">
        <f>IF(H55&lt;=0,"",IF(H55&lt;=2,"Muy Baja",IF(H55&lt;=24,"Baja",IF(H55&lt;=500,"Media",IF(H55&lt;=5000,"Alta","Muy Alta")))))</f>
        <v>Muy Baja</v>
      </c>
      <c r="J55" s="356">
        <f>IF(I55="","",IF(I55="Muy Baja",0.2,IF(I55="Baja",0.4,IF(I55="Media",0.6,IF(I55="Alta",0.8,IF(I55="Muy Alta",1,))))))</f>
        <v>0.2</v>
      </c>
      <c r="K55" s="359" t="s">
        <v>142</v>
      </c>
      <c r="L55" s="356" t="str">
        <f ca="1">IF(NOT(ISERROR(MATCH(K55,'Tabla Impacto'!$B$221:$B$223,0))),'Tabla Impacto'!$F$223&amp;"Por favor no seleccionar los criterios de impacto(Afectación Económica o presupuestal y Pérdida Reputacional)",K55)</f>
        <v xml:space="preserve">     El riesgo afecta la imagen de la entidad con algunos usuarios de relevancia frente al logro de los objetivos</v>
      </c>
      <c r="M55" s="353" t="str">
        <f ca="1">IF(OR(L55='Tabla Impacto'!$C$11,L55='Tabla Impacto'!$D$11),"Leve",IF(OR(L55='Tabla Impacto'!$C$12,L55='Tabla Impacto'!$D$12),"Menor",IF(OR(L55='Tabla Impacto'!$C$13,L55='Tabla Impacto'!$D$13),"Moderado",IF(OR(L55='Tabla Impacto'!$C$14,L55='Tabla Impacto'!$D$14),"Mayor",IF(OR(L55='Tabla Impacto'!$C$15,L55='Tabla Impacto'!$D$15),"Catastrófico","")))))</f>
        <v>Moderado</v>
      </c>
      <c r="N55" s="356">
        <f ca="1">IF(M55="","",IF(M55="Leve",0.2,IF(M55="Menor",0.4,IF(M55="Moderado",0.6,IF(M55="Mayor",0.8,IF(M55="Catastrófico",1,))))))</f>
        <v>0.6</v>
      </c>
      <c r="O55" s="362" t="str">
        <f ca="1">IF(OR(AND(I55="Muy Baja",M55="Leve"),AND(I55="Muy Baja",M55="Menor"),AND(I55="Baja",M55="Leve")),"Bajo",IF(OR(AND(I55="Muy baja",M55="Moderado"),AND(I55="Baja",M55="Menor"),AND(I55="Baja",M55="Moderado"),AND(I55="Media",M55="Leve"),AND(I55="Media",M55="Menor"),AND(I55="Media",M55="Moderado"),AND(I55="Alta",M55="Leve"),AND(I55="Alta",M55="Menor")),"Moderado",IF(OR(AND(I55="Muy Baja",M55="Mayor"),AND(I55="Baja",M55="Mayor"),AND(I55="Media",M55="Mayor"),AND(I55="Alta",M55="Moderado"),AND(I55="Alta",M55="Mayor"),AND(I55="Muy Alta",M55="Leve"),AND(I55="Muy Alta",M55="Menor"),AND(I55="Muy Alta",M55="Moderado"),AND(I55="Muy Alta",M55="Mayor")),"Alto",IF(OR(AND(I55="Muy Baja",M55="Catastrófico"),AND(I55="Baja",M55="Catastrófico"),AND(I55="Media",M55="Catastrófico"),AND(I55="Alta",M55="Catastrófico"),AND(I55="Muy Alta",M55="Catastrófico")),"Extremo",""))))</f>
        <v>Moderado</v>
      </c>
      <c r="P55" s="124">
        <v>1</v>
      </c>
      <c r="Q55" s="117" t="s">
        <v>305</v>
      </c>
      <c r="R55" s="125" t="str">
        <f t="shared" si="18"/>
        <v>Probabilidad</v>
      </c>
      <c r="S55" s="126" t="s">
        <v>14</v>
      </c>
      <c r="T55" s="126" t="s">
        <v>9</v>
      </c>
      <c r="U55" s="127" t="str">
        <f>IF(AND(S55="Preventivo",T55="Automático"),"50%",IF(AND(S55="Preventivo",T55="Manual"),"40%",IF(AND(S55="Detectivo",T55="Automático"),"40%",IF(AND(S55="Detectivo",T55="Manual"),"30%",IF(AND(S55="Correctivo",T55="Automático"),"35%",IF(AND(S55="Correctivo",T55="Manual"),"25%",""))))))</f>
        <v>40%</v>
      </c>
      <c r="V55" s="126" t="s">
        <v>19</v>
      </c>
      <c r="W55" s="126" t="s">
        <v>22</v>
      </c>
      <c r="X55" s="126" t="s">
        <v>111</v>
      </c>
      <c r="Y55" s="128">
        <f>IFERROR(IF(R55="Probabilidad",(J55-(+J55*U55)),IF(R55="Impacto",J55,"")),"")</f>
        <v>0.12</v>
      </c>
      <c r="Z55" s="129" t="str">
        <f>IFERROR(IF(Y55="","",IF(Y55&lt;=0.2,"Muy Baja",IF(Y55&lt;=0.4,"Baja",IF(Y55&lt;=0.6,"Media",IF(Y55&lt;=0.8,"Alta","Muy Alta"))))),"")</f>
        <v>Muy Baja</v>
      </c>
      <c r="AA55" s="130">
        <f>+Y55</f>
        <v>0.12</v>
      </c>
      <c r="AB55" s="129" t="str">
        <f ca="1">IFERROR(IF(AC55="","",IF(AC55&lt;=0.2,"Leve",IF(AC55&lt;=0.4,"Menor",IF(AC55&lt;=0.6,"Moderado",IF(AC55&lt;=0.8,"Mayor","Catastrófico"))))),"")</f>
        <v>Moderado</v>
      </c>
      <c r="AC55" s="130">
        <f ca="1">IFERROR(IF(R55="Impacto",(N55-(+N55*U55)),IF(R55="Probabilidad",N55,"")),"")</f>
        <v>0.6</v>
      </c>
      <c r="AD55" s="131" t="str">
        <f ca="1">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Moderado</v>
      </c>
      <c r="AE55" s="158" t="s">
        <v>257</v>
      </c>
      <c r="AF55" s="159" t="s">
        <v>330</v>
      </c>
      <c r="AG55" s="153" t="s">
        <v>299</v>
      </c>
      <c r="AH55" s="153" t="s">
        <v>300</v>
      </c>
      <c r="AI55" s="153" t="s">
        <v>301</v>
      </c>
      <c r="AJ55" s="153" t="s">
        <v>302</v>
      </c>
      <c r="AK55" s="154">
        <v>44566</v>
      </c>
      <c r="AL55" s="154" t="s">
        <v>293</v>
      </c>
      <c r="AM55" s="350">
        <v>4141</v>
      </c>
      <c r="AN55" s="350"/>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row>
    <row r="56" spans="1:70" s="135" customFormat="1" ht="43.5" customHeight="1">
      <c r="A56" s="342"/>
      <c r="B56" s="345"/>
      <c r="C56" s="345"/>
      <c r="D56" s="345"/>
      <c r="E56" s="345"/>
      <c r="F56" s="348"/>
      <c r="G56" s="345"/>
      <c r="H56" s="351"/>
      <c r="I56" s="354"/>
      <c r="J56" s="357"/>
      <c r="K56" s="360"/>
      <c r="L56" s="357">
        <f ca="1">IF(NOT(ISERROR(MATCH(K56,_xlfn.ANCHORARRAY(F67),0))),J69&amp;"Por favor no seleccionar los criterios de impacto",K56)</f>
        <v>0</v>
      </c>
      <c r="M56" s="354"/>
      <c r="N56" s="357"/>
      <c r="O56" s="363"/>
      <c r="P56" s="124">
        <v>2</v>
      </c>
      <c r="Q56" s="117" t="s">
        <v>297</v>
      </c>
      <c r="R56" s="125" t="str">
        <f t="shared" si="18"/>
        <v>Probabilidad</v>
      </c>
      <c r="S56" s="126" t="s">
        <v>14</v>
      </c>
      <c r="T56" s="126" t="s">
        <v>9</v>
      </c>
      <c r="U56" s="127" t="str">
        <f t="shared" ref="U56:U60" si="59">IF(AND(S56="Preventivo",T56="Automático"),"50%",IF(AND(S56="Preventivo",T56="Manual"),"40%",IF(AND(S56="Detectivo",T56="Automático"),"40%",IF(AND(S56="Detectivo",T56="Manual"),"30%",IF(AND(S56="Correctivo",T56="Automático"),"35%",IF(AND(S56="Correctivo",T56="Manual"),"25%",""))))))</f>
        <v>40%</v>
      </c>
      <c r="V56" s="170" t="s">
        <v>19</v>
      </c>
      <c r="W56" s="170" t="s">
        <v>22</v>
      </c>
      <c r="X56" s="170" t="s">
        <v>111</v>
      </c>
      <c r="Y56" s="128">
        <f>IFERROR(IF(AND(R55="Probabilidad",R56="Probabilidad"),(AA55-(+AA55*U56)),IF(R56="Probabilidad",(J55-(+J55*U56)),IF(R56="Impacto",AA55,""))),"")</f>
        <v>7.1999999999999995E-2</v>
      </c>
      <c r="Z56" s="129" t="str">
        <f t="shared" ref="Z56:Z60" si="60">IFERROR(IF(Y56="","",IF(Y56&lt;=0.2,"Muy Baja",IF(Y56&lt;=0.4,"Baja",IF(Y56&lt;=0.6,"Media",IF(Y56&lt;=0.8,"Alta","Muy Alta"))))),"")</f>
        <v>Muy Baja</v>
      </c>
      <c r="AA56" s="130">
        <f t="shared" ref="AA56:AA60" si="61">+Y56</f>
        <v>7.1999999999999995E-2</v>
      </c>
      <c r="AB56" s="129" t="str">
        <f t="shared" ref="AB56:AB60" ca="1" si="62">IFERROR(IF(AC56="","",IF(AC56&lt;=0.2,"Leve",IF(AC56&lt;=0.4,"Menor",IF(AC56&lt;=0.6,"Moderado",IF(AC56&lt;=0.8,"Mayor","Catastrófico"))))),"")</f>
        <v>Moderado</v>
      </c>
      <c r="AC56" s="130">
        <f ca="1">IFERROR(IF(AND(R55="Impacto",R56="Impacto"),(AC55-(+AC55*U56)),IF(R56="Impacto",(N55-(+N55*U56)),IF(R56="Probabilidad",AC55,""))),"")</f>
        <v>0.6</v>
      </c>
      <c r="AD56" s="131" t="str">
        <f t="shared" ref="AD56:AD57" ca="1" si="63">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Moderado</v>
      </c>
      <c r="AE56" s="158" t="s">
        <v>257</v>
      </c>
      <c r="AF56" s="159" t="s">
        <v>298</v>
      </c>
      <c r="AG56" s="153" t="s">
        <v>299</v>
      </c>
      <c r="AH56" s="153" t="s">
        <v>300</v>
      </c>
      <c r="AI56" s="153" t="s">
        <v>301</v>
      </c>
      <c r="AJ56" s="153" t="s">
        <v>302</v>
      </c>
      <c r="AK56" s="154">
        <v>44566</v>
      </c>
      <c r="AL56" s="154" t="s">
        <v>293</v>
      </c>
      <c r="AM56" s="351"/>
      <c r="AN56" s="351"/>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row>
    <row r="57" spans="1:70" s="135" customFormat="1" ht="43.5" customHeight="1">
      <c r="A57" s="342"/>
      <c r="B57" s="345"/>
      <c r="C57" s="345"/>
      <c r="D57" s="345"/>
      <c r="E57" s="345"/>
      <c r="F57" s="348"/>
      <c r="G57" s="345"/>
      <c r="H57" s="351"/>
      <c r="I57" s="354"/>
      <c r="J57" s="357"/>
      <c r="K57" s="360"/>
      <c r="L57" s="357">
        <f ca="1">IF(NOT(ISERROR(MATCH(K57,_xlfn.ANCHORARRAY(F68),0))),J70&amp;"Por favor no seleccionar los criterios de impacto",K57)</f>
        <v>0</v>
      </c>
      <c r="M57" s="354"/>
      <c r="N57" s="357"/>
      <c r="O57" s="363"/>
      <c r="P57" s="124">
        <v>3</v>
      </c>
      <c r="Q57" s="118"/>
      <c r="R57" s="125" t="str">
        <f t="shared" si="18"/>
        <v/>
      </c>
      <c r="S57" s="126"/>
      <c r="T57" s="126"/>
      <c r="U57" s="127" t="str">
        <f t="shared" si="59"/>
        <v/>
      </c>
      <c r="V57" s="126"/>
      <c r="W57" s="126"/>
      <c r="X57" s="126"/>
      <c r="Y57" s="128" t="str">
        <f>IFERROR(IF(AND(R56="Probabilidad",R57="Probabilidad"),(AA56-(+AA56*U57)),IF(AND(R56="Impacto",R57="Probabilidad"),(AA55-(+AA55*U57)),IF(R57="Impacto",AA56,""))),"")</f>
        <v/>
      </c>
      <c r="Z57" s="129" t="str">
        <f t="shared" si="60"/>
        <v/>
      </c>
      <c r="AA57" s="130" t="str">
        <f t="shared" si="61"/>
        <v/>
      </c>
      <c r="AB57" s="129" t="str">
        <f t="shared" si="62"/>
        <v/>
      </c>
      <c r="AC57" s="130" t="str">
        <f>IFERROR(IF(AND(R56="Impacto",R57="Impacto"),(AC56-(+AC56*U57)),IF(AND(R56="Probabilidad",R57="Impacto"),(AC55-(+AC55*U57)),IF(R57="Probabilidad",AC56,""))),"")</f>
        <v/>
      </c>
      <c r="AD57" s="131" t="str">
        <f t="shared" si="63"/>
        <v/>
      </c>
      <c r="AE57" s="158"/>
      <c r="AF57" s="159"/>
      <c r="AG57" s="153"/>
      <c r="AH57" s="153"/>
      <c r="AI57" s="153"/>
      <c r="AJ57" s="153"/>
      <c r="AK57" s="154"/>
      <c r="AL57" s="154"/>
      <c r="AM57" s="351"/>
      <c r="AN57" s="351"/>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row>
    <row r="58" spans="1:70" s="135" customFormat="1" ht="43.5" customHeight="1">
      <c r="A58" s="342"/>
      <c r="B58" s="345"/>
      <c r="C58" s="345"/>
      <c r="D58" s="345"/>
      <c r="E58" s="345"/>
      <c r="F58" s="348"/>
      <c r="G58" s="345"/>
      <c r="H58" s="351"/>
      <c r="I58" s="354"/>
      <c r="J58" s="357"/>
      <c r="K58" s="360"/>
      <c r="L58" s="357">
        <f ca="1">IF(NOT(ISERROR(MATCH(K58,_xlfn.ANCHORARRAY(F69),0))),J71&amp;"Por favor no seleccionar los criterios de impacto",K58)</f>
        <v>0</v>
      </c>
      <c r="M58" s="354"/>
      <c r="N58" s="357"/>
      <c r="O58" s="363"/>
      <c r="P58" s="124">
        <v>4</v>
      </c>
      <c r="Q58" s="117"/>
      <c r="R58" s="125" t="str">
        <f t="shared" si="18"/>
        <v/>
      </c>
      <c r="S58" s="126"/>
      <c r="T58" s="126"/>
      <c r="U58" s="127" t="str">
        <f t="shared" si="59"/>
        <v/>
      </c>
      <c r="V58" s="126"/>
      <c r="W58" s="126"/>
      <c r="X58" s="126"/>
      <c r="Y58" s="128" t="str">
        <f t="shared" ref="Y58:Y60" si="64">IFERROR(IF(AND(R57="Probabilidad",R58="Probabilidad"),(AA57-(+AA57*U58)),IF(AND(R57="Impacto",R58="Probabilidad"),(AA56-(+AA56*U58)),IF(R58="Impacto",AA57,""))),"")</f>
        <v/>
      </c>
      <c r="Z58" s="129" t="str">
        <f t="shared" si="60"/>
        <v/>
      </c>
      <c r="AA58" s="130" t="str">
        <f t="shared" si="61"/>
        <v/>
      </c>
      <c r="AB58" s="129" t="str">
        <f t="shared" si="62"/>
        <v/>
      </c>
      <c r="AC58" s="130" t="str">
        <f t="shared" ref="AC58:AC60" si="65">IFERROR(IF(AND(R57="Impacto",R58="Impacto"),(AC57-(+AC57*U58)),IF(AND(R57="Probabilidad",R58="Impacto"),(AC56-(+AC56*U58)),IF(R58="Probabilidad",AC57,""))),"")</f>
        <v/>
      </c>
      <c r="AD58" s="131"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58"/>
      <c r="AF58" s="159"/>
      <c r="AG58" s="153"/>
      <c r="AH58" s="153"/>
      <c r="AI58" s="153"/>
      <c r="AJ58" s="153"/>
      <c r="AK58" s="154"/>
      <c r="AL58" s="154"/>
      <c r="AM58" s="351"/>
      <c r="AN58" s="351"/>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row>
    <row r="59" spans="1:70" s="135" customFormat="1" ht="43.5" customHeight="1">
      <c r="A59" s="342"/>
      <c r="B59" s="345"/>
      <c r="C59" s="345"/>
      <c r="D59" s="345"/>
      <c r="E59" s="345"/>
      <c r="F59" s="348"/>
      <c r="G59" s="345"/>
      <c r="H59" s="351"/>
      <c r="I59" s="354"/>
      <c r="J59" s="357"/>
      <c r="K59" s="360"/>
      <c r="L59" s="357">
        <f ca="1">IF(NOT(ISERROR(MATCH(K59,_xlfn.ANCHORARRAY(F70),0))),J72&amp;"Por favor no seleccionar los criterios de impacto",K59)</f>
        <v>0</v>
      </c>
      <c r="M59" s="354"/>
      <c r="N59" s="357"/>
      <c r="O59" s="363"/>
      <c r="P59" s="124">
        <v>5</v>
      </c>
      <c r="Q59" s="117"/>
      <c r="R59" s="125" t="str">
        <f t="shared" si="18"/>
        <v/>
      </c>
      <c r="S59" s="126"/>
      <c r="T59" s="126"/>
      <c r="U59" s="127" t="str">
        <f t="shared" si="59"/>
        <v/>
      </c>
      <c r="V59" s="126"/>
      <c r="W59" s="126"/>
      <c r="X59" s="126"/>
      <c r="Y59" s="128" t="str">
        <f t="shared" si="64"/>
        <v/>
      </c>
      <c r="Z59" s="129" t="str">
        <f t="shared" si="60"/>
        <v/>
      </c>
      <c r="AA59" s="130" t="str">
        <f t="shared" si="61"/>
        <v/>
      </c>
      <c r="AB59" s="129" t="str">
        <f t="shared" si="62"/>
        <v/>
      </c>
      <c r="AC59" s="130" t="str">
        <f t="shared" si="65"/>
        <v/>
      </c>
      <c r="AD59" s="131" t="str">
        <f t="shared" ref="AD59:AD60" si="66">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58"/>
      <c r="AF59" s="159"/>
      <c r="AG59" s="153"/>
      <c r="AH59" s="153"/>
      <c r="AI59" s="153"/>
      <c r="AJ59" s="153"/>
      <c r="AK59" s="154"/>
      <c r="AL59" s="154"/>
      <c r="AM59" s="351"/>
      <c r="AN59" s="351"/>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row>
    <row r="60" spans="1:70" s="135" customFormat="1" ht="43.5" customHeight="1">
      <c r="A60" s="343"/>
      <c r="B60" s="346"/>
      <c r="C60" s="346"/>
      <c r="D60" s="346"/>
      <c r="E60" s="346"/>
      <c r="F60" s="349"/>
      <c r="G60" s="346"/>
      <c r="H60" s="352"/>
      <c r="I60" s="355"/>
      <c r="J60" s="358"/>
      <c r="K60" s="361"/>
      <c r="L60" s="358">
        <f ca="1">IF(NOT(ISERROR(MATCH(K60,_xlfn.ANCHORARRAY(F71),0))),#REF!&amp;"Por favor no seleccionar los criterios de impacto",K60)</f>
        <v>0</v>
      </c>
      <c r="M60" s="355"/>
      <c r="N60" s="358"/>
      <c r="O60" s="364"/>
      <c r="P60" s="124">
        <v>6</v>
      </c>
      <c r="Q60" s="117"/>
      <c r="R60" s="125" t="str">
        <f t="shared" si="18"/>
        <v/>
      </c>
      <c r="S60" s="126"/>
      <c r="T60" s="126"/>
      <c r="U60" s="127" t="str">
        <f t="shared" si="59"/>
        <v/>
      </c>
      <c r="V60" s="126"/>
      <c r="W60" s="126"/>
      <c r="X60" s="126"/>
      <c r="Y60" s="128" t="str">
        <f t="shared" si="64"/>
        <v/>
      </c>
      <c r="Z60" s="129" t="str">
        <f t="shared" si="60"/>
        <v/>
      </c>
      <c r="AA60" s="130" t="str">
        <f t="shared" si="61"/>
        <v/>
      </c>
      <c r="AB60" s="129" t="str">
        <f t="shared" si="62"/>
        <v/>
      </c>
      <c r="AC60" s="130" t="str">
        <f t="shared" si="65"/>
        <v/>
      </c>
      <c r="AD60" s="131" t="str">
        <f t="shared" si="66"/>
        <v/>
      </c>
      <c r="AE60" s="158"/>
      <c r="AF60" s="159"/>
      <c r="AG60" s="153"/>
      <c r="AH60" s="153"/>
      <c r="AI60" s="153"/>
      <c r="AJ60" s="153"/>
      <c r="AK60" s="154"/>
      <c r="AL60" s="154"/>
      <c r="AM60" s="352"/>
      <c r="AN60" s="352"/>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row>
    <row r="61" spans="1:70" s="135" customFormat="1" ht="43.5" customHeight="1">
      <c r="A61" s="341">
        <v>9</v>
      </c>
      <c r="B61" s="344" t="s">
        <v>201</v>
      </c>
      <c r="C61" s="344" t="s">
        <v>125</v>
      </c>
      <c r="D61" s="344" t="s">
        <v>308</v>
      </c>
      <c r="E61" s="344" t="s">
        <v>307</v>
      </c>
      <c r="F61" s="347" t="s">
        <v>306</v>
      </c>
      <c r="G61" s="344" t="s">
        <v>120</v>
      </c>
      <c r="H61" s="350">
        <v>2</v>
      </c>
      <c r="I61" s="353" t="str">
        <f>IF(H61&lt;=0,"",IF(H61&lt;=2,"Muy Baja",IF(H61&lt;=24,"Baja",IF(H61&lt;=500,"Media",IF(H61&lt;=5000,"Alta","Muy Alta")))))</f>
        <v>Muy Baja</v>
      </c>
      <c r="J61" s="356">
        <f>IF(I61="","",IF(I61="Muy Baja",0.2,IF(I61="Baja",0.4,IF(I61="Media",0.6,IF(I61="Alta",0.8,IF(I61="Muy Alta",1,))))))</f>
        <v>0.2</v>
      </c>
      <c r="K61" s="359" t="s">
        <v>142</v>
      </c>
      <c r="L61" s="356" t="str">
        <f ca="1">IF(NOT(ISERROR(MATCH(K61,'Tabla Impacto'!$B$221:$B$223,0))),'Tabla Impacto'!$F$223&amp;"Por favor no seleccionar los criterios de impacto(Afectación Económica o presupuestal y Pérdida Reputacional)",K61)</f>
        <v xml:space="preserve">     El riesgo afecta la imagen de la entidad con algunos usuarios de relevancia frente al logro de los objetivos</v>
      </c>
      <c r="M61" s="353" t="str">
        <f ca="1">IF(OR(L61='Tabla Impacto'!$C$11,L61='Tabla Impacto'!$D$11),"Leve",IF(OR(L61='Tabla Impacto'!$C$12,L61='Tabla Impacto'!$D$12),"Menor",IF(OR(L61='Tabla Impacto'!$C$13,L61='Tabla Impacto'!$D$13),"Moderado",IF(OR(L61='Tabla Impacto'!$C$14,L61='Tabla Impacto'!$D$14),"Mayor",IF(OR(L61='Tabla Impacto'!$C$15,L61='Tabla Impacto'!$D$15),"Catastrófico","")))))</f>
        <v>Moderado</v>
      </c>
      <c r="N61" s="356">
        <f ca="1">IF(M61="","",IF(M61="Leve",0.2,IF(M61="Menor",0.4,IF(M61="Moderado",0.6,IF(M61="Mayor",0.8,IF(M61="Catastrófico",1,))))))</f>
        <v>0.6</v>
      </c>
      <c r="O61" s="362" t="str">
        <f ca="1">IF(OR(AND(I61="Muy Baja",M61="Leve"),AND(I61="Muy Baja",M61="Menor"),AND(I61="Baja",M61="Leve")),"Bajo",IF(OR(AND(I61="Muy baja",M61="Moderado"),AND(I61="Baja",M61="Menor"),AND(I61="Baja",M61="Moderado"),AND(I61="Media",M61="Leve"),AND(I61="Media",M61="Menor"),AND(I61="Media",M61="Moderado"),AND(I61="Alta",M61="Leve"),AND(I61="Alta",M61="Menor")),"Moderado",IF(OR(AND(I61="Muy Baja",M61="Mayor"),AND(I61="Baja",M61="Mayor"),AND(I61="Media",M61="Mayor"),AND(I61="Alta",M61="Moderado"),AND(I61="Alta",M61="Mayor"),AND(I61="Muy Alta",M61="Leve"),AND(I61="Muy Alta",M61="Menor"),AND(I61="Muy Alta",M61="Moderado"),AND(I61="Muy Alta",M61="Mayor")),"Alto",IF(OR(AND(I61="Muy Baja",M61="Catastrófico"),AND(I61="Baja",M61="Catastrófico"),AND(I61="Media",M61="Catastrófico"),AND(I61="Alta",M61="Catastrófico"),AND(I61="Muy Alta",M61="Catastrófico")),"Extremo",""))))</f>
        <v>Moderado</v>
      </c>
      <c r="P61" s="124">
        <v>1</v>
      </c>
      <c r="Q61" s="169" t="s">
        <v>332</v>
      </c>
      <c r="R61" s="125" t="str">
        <f t="shared" si="18"/>
        <v>Probabilidad</v>
      </c>
      <c r="S61" s="126" t="s">
        <v>14</v>
      </c>
      <c r="T61" s="126" t="s">
        <v>9</v>
      </c>
      <c r="U61" s="127" t="str">
        <f>IF(AND(S61="Preventivo",T61="Automático"),"50%",IF(AND(S61="Preventivo",T61="Manual"),"40%",IF(AND(S61="Detectivo",T61="Automático"),"40%",IF(AND(S61="Detectivo",T61="Manual"),"30%",IF(AND(S61="Correctivo",T61="Automático"),"35%",IF(AND(S61="Correctivo",T61="Manual"),"25%",""))))))</f>
        <v>40%</v>
      </c>
      <c r="V61" s="126" t="s">
        <v>19</v>
      </c>
      <c r="W61" s="126" t="s">
        <v>22</v>
      </c>
      <c r="X61" s="126" t="s">
        <v>111</v>
      </c>
      <c r="Y61" s="128">
        <f>IFERROR(IF(R61="Probabilidad",(J61-(+J61*U61)),IF(R61="Impacto",J61,"")),"")</f>
        <v>0.12</v>
      </c>
      <c r="Z61" s="129" t="str">
        <f>IFERROR(IF(Y61="","",IF(Y61&lt;=0.2,"Muy Baja",IF(Y61&lt;=0.4,"Baja",IF(Y61&lt;=0.6,"Media",IF(Y61&lt;=0.8,"Alta","Muy Alta"))))),"")</f>
        <v>Muy Baja</v>
      </c>
      <c r="AA61" s="130">
        <f>+Y61</f>
        <v>0.12</v>
      </c>
      <c r="AB61" s="129" t="str">
        <f ca="1">IFERROR(IF(AC61="","",IF(AC61&lt;=0.2,"Leve",IF(AC61&lt;=0.4,"Menor",IF(AC61&lt;=0.6,"Moderado",IF(AC61&lt;=0.8,"Mayor","Catastrófico"))))),"")</f>
        <v>Moderado</v>
      </c>
      <c r="AC61" s="130">
        <f ca="1">IFERROR(IF(R61="Impacto",(N61-(+N61*U61)),IF(R61="Probabilidad",N61,"")),"")</f>
        <v>0.6</v>
      </c>
      <c r="AD61" s="131" t="str">
        <f ca="1">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Moderado</v>
      </c>
      <c r="AE61" s="158" t="s">
        <v>257</v>
      </c>
      <c r="AF61" s="159" t="s">
        <v>309</v>
      </c>
      <c r="AG61" s="175" t="s">
        <v>310</v>
      </c>
      <c r="AH61" s="175" t="s">
        <v>311</v>
      </c>
      <c r="AI61" s="175" t="s">
        <v>301</v>
      </c>
      <c r="AJ61" s="176" t="s">
        <v>312</v>
      </c>
      <c r="AK61" s="154">
        <v>44563</v>
      </c>
      <c r="AL61" s="154" t="s">
        <v>293</v>
      </c>
      <c r="AM61" s="350">
        <v>4142</v>
      </c>
      <c r="AN61" s="350"/>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row>
    <row r="62" spans="1:70" s="135" customFormat="1" ht="43.5" customHeight="1">
      <c r="A62" s="342"/>
      <c r="B62" s="345"/>
      <c r="C62" s="345"/>
      <c r="D62" s="345"/>
      <c r="E62" s="345"/>
      <c r="F62" s="348"/>
      <c r="G62" s="345"/>
      <c r="H62" s="351"/>
      <c r="I62" s="354"/>
      <c r="J62" s="357"/>
      <c r="K62" s="360"/>
      <c r="L62" s="357">
        <f ca="1">IF(NOT(ISERROR(MATCH(K62,_xlfn.ANCHORARRAY(#REF!),0))),#REF!&amp;"Por favor no seleccionar los criterios de impacto",K62)</f>
        <v>0</v>
      </c>
      <c r="M62" s="354"/>
      <c r="N62" s="357"/>
      <c r="O62" s="363"/>
      <c r="P62" s="124">
        <v>2</v>
      </c>
      <c r="Q62" s="117" t="s">
        <v>331</v>
      </c>
      <c r="R62" s="125" t="str">
        <f t="shared" si="18"/>
        <v>Probabilidad</v>
      </c>
      <c r="S62" s="170" t="s">
        <v>14</v>
      </c>
      <c r="T62" s="170" t="s">
        <v>9</v>
      </c>
      <c r="U62" s="127" t="str">
        <f t="shared" ref="U62:U66" si="67">IF(AND(S62="Preventivo",T62="Automático"),"50%",IF(AND(S62="Preventivo",T62="Manual"),"40%",IF(AND(S62="Detectivo",T62="Automático"),"40%",IF(AND(S62="Detectivo",T62="Manual"),"30%",IF(AND(S62="Correctivo",T62="Automático"),"35%",IF(AND(S62="Correctivo",T62="Manual"),"25%",""))))))</f>
        <v>40%</v>
      </c>
      <c r="V62" s="170" t="s">
        <v>19</v>
      </c>
      <c r="W62" s="170" t="s">
        <v>22</v>
      </c>
      <c r="X62" s="170" t="s">
        <v>111</v>
      </c>
      <c r="Y62" s="128">
        <f>IFERROR(IF(AND(R61="Probabilidad",R62="Probabilidad"),(AA61-(+AA61*U62)),IF(R62="Probabilidad",(J61-(+J61*U62)),IF(R62="Impacto",AA61,""))),"")</f>
        <v>7.1999999999999995E-2</v>
      </c>
      <c r="Z62" s="129" t="str">
        <f t="shared" ref="Z62:Z66" si="68">IFERROR(IF(Y62="","",IF(Y62&lt;=0.2,"Muy Baja",IF(Y62&lt;=0.4,"Baja",IF(Y62&lt;=0.6,"Media",IF(Y62&lt;=0.8,"Alta","Muy Alta"))))),"")</f>
        <v>Muy Baja</v>
      </c>
      <c r="AA62" s="130">
        <f t="shared" ref="AA62:AA66" si="69">+Y62</f>
        <v>7.1999999999999995E-2</v>
      </c>
      <c r="AB62" s="129" t="str">
        <f t="shared" ref="AB62:AB66" ca="1" si="70">IFERROR(IF(AC62="","",IF(AC62&lt;=0.2,"Leve",IF(AC62&lt;=0.4,"Menor",IF(AC62&lt;=0.6,"Moderado",IF(AC62&lt;=0.8,"Mayor","Catastrófico"))))),"")</f>
        <v>Moderado</v>
      </c>
      <c r="AC62" s="130">
        <f ca="1">IFERROR(IF(AND(R61="Impacto",R62="Impacto"),(AC61-(+AC61*U62)),IF(R62="Impacto",(N61-(+N61*U62)),IF(R62="Probabilidad",AC61,""))),"")</f>
        <v>0.6</v>
      </c>
      <c r="AD62" s="131" t="str">
        <f t="shared" ref="AD62:AD63" ca="1" si="71">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Moderado</v>
      </c>
      <c r="AE62" s="158" t="s">
        <v>257</v>
      </c>
      <c r="AF62" s="159" t="s">
        <v>333</v>
      </c>
      <c r="AG62" s="175" t="s">
        <v>312</v>
      </c>
      <c r="AH62" s="175" t="s">
        <v>313</v>
      </c>
      <c r="AI62" s="175" t="s">
        <v>301</v>
      </c>
      <c r="AJ62" s="176" t="s">
        <v>312</v>
      </c>
      <c r="AK62" s="154">
        <v>44563</v>
      </c>
      <c r="AL62" s="154" t="s">
        <v>293</v>
      </c>
      <c r="AM62" s="351"/>
      <c r="AN62" s="351"/>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row>
    <row r="63" spans="1:70" s="135" customFormat="1" ht="43.5" customHeight="1">
      <c r="A63" s="342"/>
      <c r="B63" s="345"/>
      <c r="C63" s="345"/>
      <c r="D63" s="345"/>
      <c r="E63" s="345"/>
      <c r="F63" s="348"/>
      <c r="G63" s="345"/>
      <c r="H63" s="351"/>
      <c r="I63" s="354"/>
      <c r="J63" s="357"/>
      <c r="K63" s="360"/>
      <c r="L63" s="357">
        <f ca="1">IF(NOT(ISERROR(MATCH(K63,_xlfn.ANCHORARRAY(F73),0))),J74&amp;"Por favor no seleccionar los criterios de impacto",K63)</f>
        <v>0</v>
      </c>
      <c r="M63" s="354"/>
      <c r="N63" s="357"/>
      <c r="O63" s="363"/>
      <c r="P63" s="124">
        <v>3</v>
      </c>
      <c r="Q63" s="118"/>
      <c r="R63" s="125" t="str">
        <f t="shared" si="18"/>
        <v/>
      </c>
      <c r="S63" s="126"/>
      <c r="T63" s="126"/>
      <c r="U63" s="127" t="str">
        <f t="shared" si="67"/>
        <v/>
      </c>
      <c r="V63" s="126"/>
      <c r="W63" s="126"/>
      <c r="X63" s="126"/>
      <c r="Y63" s="128" t="str">
        <f>IFERROR(IF(AND(R62="Probabilidad",R63="Probabilidad"),(AA62-(+AA62*U63)),IF(AND(R62="Impacto",R63="Probabilidad"),(AA61-(+AA61*U63)),IF(R63="Impacto",AA62,""))),"")</f>
        <v/>
      </c>
      <c r="Z63" s="129" t="str">
        <f t="shared" si="68"/>
        <v/>
      </c>
      <c r="AA63" s="130" t="str">
        <f t="shared" si="69"/>
        <v/>
      </c>
      <c r="AB63" s="129" t="str">
        <f t="shared" si="70"/>
        <v/>
      </c>
      <c r="AC63" s="130" t="str">
        <f>IFERROR(IF(AND(R62="Impacto",R63="Impacto"),(AC62-(+AC62*U63)),IF(AND(R62="Probabilidad",R63="Impacto"),(AC61-(+AC61*U63)),IF(R63="Probabilidad",AC62,""))),"")</f>
        <v/>
      </c>
      <c r="AD63" s="131" t="str">
        <f t="shared" si="71"/>
        <v/>
      </c>
      <c r="AE63" s="158"/>
      <c r="AF63" s="159"/>
      <c r="AG63" s="153"/>
      <c r="AH63" s="153"/>
      <c r="AI63" s="153"/>
      <c r="AJ63" s="153"/>
      <c r="AK63" s="154"/>
      <c r="AL63" s="154"/>
      <c r="AM63" s="351"/>
      <c r="AN63" s="351"/>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row>
    <row r="64" spans="1:70" s="135" customFormat="1" ht="43.5" customHeight="1">
      <c r="A64" s="342"/>
      <c r="B64" s="345"/>
      <c r="C64" s="345"/>
      <c r="D64" s="345"/>
      <c r="E64" s="345"/>
      <c r="F64" s="348"/>
      <c r="G64" s="345"/>
      <c r="H64" s="351"/>
      <c r="I64" s="354"/>
      <c r="J64" s="357"/>
      <c r="K64" s="360"/>
      <c r="L64" s="357">
        <f ca="1">IF(NOT(ISERROR(MATCH(K64,_xlfn.ANCHORARRAY(#REF!),0))),J75&amp;"Por favor no seleccionar los criterios de impacto",K64)</f>
        <v>0</v>
      </c>
      <c r="M64" s="354"/>
      <c r="N64" s="357"/>
      <c r="O64" s="363"/>
      <c r="P64" s="124">
        <v>4</v>
      </c>
      <c r="Q64" s="117"/>
      <c r="R64" s="125" t="str">
        <f t="shared" si="18"/>
        <v/>
      </c>
      <c r="S64" s="126"/>
      <c r="T64" s="126"/>
      <c r="U64" s="127" t="str">
        <f t="shared" si="67"/>
        <v/>
      </c>
      <c r="V64" s="126"/>
      <c r="W64" s="126"/>
      <c r="X64" s="126"/>
      <c r="Y64" s="128" t="str">
        <f t="shared" ref="Y64:Y66" si="72">IFERROR(IF(AND(R63="Probabilidad",R64="Probabilidad"),(AA63-(+AA63*U64)),IF(AND(R63="Impacto",R64="Probabilidad"),(AA62-(+AA62*U64)),IF(R64="Impacto",AA63,""))),"")</f>
        <v/>
      </c>
      <c r="Z64" s="129" t="str">
        <f t="shared" si="68"/>
        <v/>
      </c>
      <c r="AA64" s="130" t="str">
        <f t="shared" si="69"/>
        <v/>
      </c>
      <c r="AB64" s="129" t="str">
        <f t="shared" si="70"/>
        <v/>
      </c>
      <c r="AC64" s="130" t="str">
        <f t="shared" ref="AC64:AC66" si="73">IFERROR(IF(AND(R63="Impacto",R64="Impacto"),(AC63-(+AC63*U64)),IF(AND(R63="Probabilidad",R64="Impacto"),(AC62-(+AC62*U64)),IF(R64="Probabilidad",AC63,""))),"")</f>
        <v/>
      </c>
      <c r="AD64" s="131"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58"/>
      <c r="AF64" s="159"/>
      <c r="AG64" s="153"/>
      <c r="AH64" s="153"/>
      <c r="AI64" s="153"/>
      <c r="AJ64" s="153"/>
      <c r="AK64" s="154"/>
      <c r="AL64" s="154"/>
      <c r="AM64" s="351"/>
      <c r="AN64" s="351"/>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row>
    <row r="65" spans="1:70" s="135" customFormat="1" ht="43.5" customHeight="1">
      <c r="A65" s="342"/>
      <c r="B65" s="345"/>
      <c r="C65" s="345"/>
      <c r="D65" s="345"/>
      <c r="E65" s="345"/>
      <c r="F65" s="348"/>
      <c r="G65" s="345"/>
      <c r="H65" s="351"/>
      <c r="I65" s="354"/>
      <c r="J65" s="357"/>
      <c r="K65" s="360"/>
      <c r="L65" s="357">
        <f ca="1">IF(NOT(ISERROR(MATCH(K65,_xlfn.ANCHORARRAY(F74),0))),J76&amp;"Por favor no seleccionar los criterios de impacto",K65)</f>
        <v>0</v>
      </c>
      <c r="M65" s="354"/>
      <c r="N65" s="357"/>
      <c r="O65" s="363"/>
      <c r="P65" s="124">
        <v>5</v>
      </c>
      <c r="Q65" s="117"/>
      <c r="R65" s="125" t="str">
        <f t="shared" si="18"/>
        <v/>
      </c>
      <c r="S65" s="126"/>
      <c r="T65" s="126"/>
      <c r="U65" s="127" t="str">
        <f t="shared" si="67"/>
        <v/>
      </c>
      <c r="V65" s="126"/>
      <c r="W65" s="126"/>
      <c r="X65" s="126"/>
      <c r="Y65" s="128" t="str">
        <f t="shared" si="72"/>
        <v/>
      </c>
      <c r="Z65" s="129" t="str">
        <f t="shared" si="68"/>
        <v/>
      </c>
      <c r="AA65" s="130" t="str">
        <f t="shared" si="69"/>
        <v/>
      </c>
      <c r="AB65" s="129" t="str">
        <f t="shared" si="70"/>
        <v/>
      </c>
      <c r="AC65" s="130" t="str">
        <f t="shared" si="73"/>
        <v/>
      </c>
      <c r="AD65" s="131" t="str">
        <f t="shared" ref="AD65:AD66" si="74">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58"/>
      <c r="AF65" s="159"/>
      <c r="AG65" s="153"/>
      <c r="AH65" s="153"/>
      <c r="AI65" s="153"/>
      <c r="AJ65" s="153"/>
      <c r="AK65" s="154"/>
      <c r="AL65" s="154"/>
      <c r="AM65" s="351"/>
      <c r="AN65" s="351"/>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row>
    <row r="66" spans="1:70" s="135" customFormat="1" ht="43.5" customHeight="1" thickBot="1">
      <c r="A66" s="343"/>
      <c r="B66" s="346"/>
      <c r="C66" s="346"/>
      <c r="D66" s="346"/>
      <c r="E66" s="346"/>
      <c r="F66" s="349"/>
      <c r="G66" s="346"/>
      <c r="H66" s="352"/>
      <c r="I66" s="355"/>
      <c r="J66" s="358"/>
      <c r="K66" s="361"/>
      <c r="L66" s="358">
        <f ca="1">IF(NOT(ISERROR(MATCH(K66,_xlfn.ANCHORARRAY(F75),0))),J77&amp;"Por favor no seleccionar los criterios de impacto",K66)</f>
        <v>0</v>
      </c>
      <c r="M66" s="355"/>
      <c r="N66" s="358"/>
      <c r="O66" s="364"/>
      <c r="P66" s="124">
        <v>6</v>
      </c>
      <c r="Q66" s="117"/>
      <c r="R66" s="125" t="str">
        <f t="shared" si="18"/>
        <v/>
      </c>
      <c r="S66" s="126"/>
      <c r="T66" s="126"/>
      <c r="U66" s="127" t="str">
        <f t="shared" si="67"/>
        <v/>
      </c>
      <c r="V66" s="126"/>
      <c r="W66" s="126"/>
      <c r="X66" s="126"/>
      <c r="Y66" s="128" t="str">
        <f t="shared" si="72"/>
        <v/>
      </c>
      <c r="Z66" s="129" t="str">
        <f t="shared" si="68"/>
        <v/>
      </c>
      <c r="AA66" s="130" t="str">
        <f t="shared" si="69"/>
        <v/>
      </c>
      <c r="AB66" s="129" t="str">
        <f t="shared" si="70"/>
        <v/>
      </c>
      <c r="AC66" s="130" t="str">
        <f t="shared" si="73"/>
        <v/>
      </c>
      <c r="AD66" s="131" t="str">
        <f t="shared" si="74"/>
        <v/>
      </c>
      <c r="AE66" s="158"/>
      <c r="AF66" s="159"/>
      <c r="AG66" s="153"/>
      <c r="AH66" s="153"/>
      <c r="AI66" s="153"/>
      <c r="AJ66" s="153"/>
      <c r="AK66" s="154"/>
      <c r="AL66" s="154"/>
      <c r="AM66" s="352"/>
      <c r="AN66" s="352"/>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row>
    <row r="67" spans="1:70" s="135" customFormat="1" ht="43.5" customHeight="1" thickBot="1">
      <c r="A67" s="341">
        <v>10</v>
      </c>
      <c r="B67" s="344" t="s">
        <v>202</v>
      </c>
      <c r="C67" s="344" t="s">
        <v>123</v>
      </c>
      <c r="D67" s="344" t="s">
        <v>342</v>
      </c>
      <c r="E67" s="344" t="s">
        <v>343</v>
      </c>
      <c r="F67" s="347" t="s">
        <v>344</v>
      </c>
      <c r="G67" s="344" t="s">
        <v>115</v>
      </c>
      <c r="H67" s="350">
        <v>672</v>
      </c>
      <c r="I67" s="353" t="s">
        <v>6</v>
      </c>
      <c r="J67" s="356">
        <v>0.8</v>
      </c>
      <c r="K67" s="359" t="s">
        <v>142</v>
      </c>
      <c r="L67" s="356" t="s">
        <v>142</v>
      </c>
      <c r="M67" s="353" t="s">
        <v>77</v>
      </c>
      <c r="N67" s="356">
        <v>0.6</v>
      </c>
      <c r="O67" s="362" t="s">
        <v>76</v>
      </c>
      <c r="P67" s="124">
        <v>1</v>
      </c>
      <c r="Q67" s="178" t="s">
        <v>345</v>
      </c>
      <c r="R67" s="125" t="s">
        <v>4</v>
      </c>
      <c r="S67" s="170" t="s">
        <v>14</v>
      </c>
      <c r="T67" s="170" t="s">
        <v>9</v>
      </c>
      <c r="U67" s="127" t="s">
        <v>346</v>
      </c>
      <c r="V67" s="170" t="s">
        <v>19</v>
      </c>
      <c r="W67" s="170" t="s">
        <v>23</v>
      </c>
      <c r="X67" s="170" t="s">
        <v>111</v>
      </c>
      <c r="Y67" s="128">
        <f>IFERROR(IF(R67="Probabilidad",(J67-(+J67*U67)),IF(R67="Impacto",J67,"")),"")</f>
        <v>0.48</v>
      </c>
      <c r="Z67" s="129" t="s">
        <v>99</v>
      </c>
      <c r="AA67" s="130">
        <v>0.48</v>
      </c>
      <c r="AB67" s="129" t="s">
        <v>77</v>
      </c>
      <c r="AC67" s="130">
        <v>0.6</v>
      </c>
      <c r="AD67" s="131" t="s">
        <v>77</v>
      </c>
      <c r="AE67" s="181" t="s">
        <v>257</v>
      </c>
      <c r="AF67" s="180" t="s">
        <v>347</v>
      </c>
      <c r="AG67" s="175" t="s">
        <v>348</v>
      </c>
      <c r="AH67" s="182" t="s">
        <v>349</v>
      </c>
      <c r="AI67" s="182" t="s">
        <v>350</v>
      </c>
      <c r="AJ67" s="175" t="s">
        <v>348</v>
      </c>
      <c r="AK67" s="176">
        <v>44683</v>
      </c>
      <c r="AL67" s="176">
        <v>44926</v>
      </c>
      <c r="AM67" s="350">
        <v>4108</v>
      </c>
      <c r="AN67" s="350"/>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row>
    <row r="68" spans="1:70" s="135" customFormat="1" ht="43.5" customHeight="1" thickBot="1">
      <c r="A68" s="342"/>
      <c r="B68" s="345"/>
      <c r="C68" s="345"/>
      <c r="D68" s="345"/>
      <c r="E68" s="345"/>
      <c r="F68" s="348"/>
      <c r="G68" s="345"/>
      <c r="H68" s="351"/>
      <c r="I68" s="354"/>
      <c r="J68" s="357"/>
      <c r="K68" s="360"/>
      <c r="L68" s="357">
        <v>0</v>
      </c>
      <c r="M68" s="354"/>
      <c r="N68" s="357"/>
      <c r="O68" s="363"/>
      <c r="P68" s="124">
        <v>2</v>
      </c>
      <c r="Q68" s="178" t="s">
        <v>351</v>
      </c>
      <c r="R68" s="125" t="s">
        <v>4</v>
      </c>
      <c r="S68" s="170" t="s">
        <v>15</v>
      </c>
      <c r="T68" s="170" t="s">
        <v>9</v>
      </c>
      <c r="U68" s="127" t="s">
        <v>352</v>
      </c>
      <c r="V68" s="170" t="s">
        <v>19</v>
      </c>
      <c r="W68" s="170" t="s">
        <v>23</v>
      </c>
      <c r="X68" s="170" t="s">
        <v>111</v>
      </c>
      <c r="Y68" s="128">
        <f>IFERROR(IF(AND(R67="Probabilidad",R68="Probabilidad"),(AA67-(+AA67*U68)),IF(R68="Probabilidad",(J67-(+J67*U68)),IF(R68="Impacto",AA67,""))),"")</f>
        <v>0.33599999999999997</v>
      </c>
      <c r="Z68" s="129" t="s">
        <v>49</v>
      </c>
      <c r="AA68" s="130">
        <v>0.33599999999999997</v>
      </c>
      <c r="AB68" s="129" t="s">
        <v>77</v>
      </c>
      <c r="AC68" s="130">
        <v>0.6</v>
      </c>
      <c r="AD68" s="131" t="s">
        <v>77</v>
      </c>
      <c r="AE68" s="181" t="s">
        <v>257</v>
      </c>
      <c r="AF68" s="180" t="s">
        <v>353</v>
      </c>
      <c r="AG68" s="175" t="s">
        <v>348</v>
      </c>
      <c r="AH68" s="182" t="s">
        <v>349</v>
      </c>
      <c r="AI68" s="182" t="s">
        <v>350</v>
      </c>
      <c r="AJ68" s="175" t="s">
        <v>348</v>
      </c>
      <c r="AK68" s="176">
        <v>44683</v>
      </c>
      <c r="AL68" s="176">
        <v>44926</v>
      </c>
      <c r="AM68" s="351"/>
      <c r="AN68" s="351"/>
    </row>
    <row r="69" spans="1:70" s="135" customFormat="1" ht="43.5" customHeight="1" thickBot="1">
      <c r="A69" s="342"/>
      <c r="B69" s="345"/>
      <c r="C69" s="345"/>
      <c r="D69" s="345"/>
      <c r="E69" s="345"/>
      <c r="F69" s="348"/>
      <c r="G69" s="345"/>
      <c r="H69" s="351"/>
      <c r="I69" s="354"/>
      <c r="J69" s="357"/>
      <c r="K69" s="360"/>
      <c r="L69" s="357">
        <v>0</v>
      </c>
      <c r="M69" s="354"/>
      <c r="N69" s="357"/>
      <c r="O69" s="363"/>
      <c r="P69" s="124">
        <v>3</v>
      </c>
      <c r="Q69" s="178" t="s">
        <v>354</v>
      </c>
      <c r="R69" s="125" t="s">
        <v>4</v>
      </c>
      <c r="S69" s="170" t="s">
        <v>14</v>
      </c>
      <c r="T69" s="170" t="s">
        <v>9</v>
      </c>
      <c r="U69" s="127" t="s">
        <v>346</v>
      </c>
      <c r="V69" s="170" t="s">
        <v>19</v>
      </c>
      <c r="W69" s="170" t="s">
        <v>23</v>
      </c>
      <c r="X69" s="170" t="s">
        <v>111</v>
      </c>
      <c r="Y69" s="128">
        <f>IFERROR(IF(AND(R68="Probabilidad",R69="Probabilidad"),(AA68-(+AA68*U69)),IF(AND(R68="Impacto",R69="Probabilidad"),(AA67-(+AA67*U69)),IF(R69="Impacto",AA68,""))),"")</f>
        <v>0.20159999999999997</v>
      </c>
      <c r="Z69" s="129" t="s">
        <v>49</v>
      </c>
      <c r="AA69" s="130">
        <v>0.20159999999999997</v>
      </c>
      <c r="AB69" s="129" t="s">
        <v>77</v>
      </c>
      <c r="AC69" s="130">
        <v>0.6</v>
      </c>
      <c r="AD69" s="131" t="s">
        <v>77</v>
      </c>
      <c r="AE69" s="181" t="s">
        <v>257</v>
      </c>
      <c r="AF69" s="180" t="s">
        <v>355</v>
      </c>
      <c r="AG69" s="175" t="s">
        <v>348</v>
      </c>
      <c r="AH69" s="182" t="s">
        <v>349</v>
      </c>
      <c r="AI69" s="182" t="s">
        <v>350</v>
      </c>
      <c r="AJ69" s="175" t="s">
        <v>348</v>
      </c>
      <c r="AK69" s="176">
        <v>44683</v>
      </c>
      <c r="AL69" s="176">
        <v>44926</v>
      </c>
      <c r="AM69" s="351"/>
      <c r="AN69" s="351"/>
    </row>
    <row r="70" spans="1:70" s="135" customFormat="1" ht="43.5" customHeight="1" thickBot="1">
      <c r="A70" s="342"/>
      <c r="B70" s="345"/>
      <c r="C70" s="345"/>
      <c r="D70" s="345"/>
      <c r="E70" s="345"/>
      <c r="F70" s="348"/>
      <c r="G70" s="345"/>
      <c r="H70" s="351"/>
      <c r="I70" s="354"/>
      <c r="J70" s="357"/>
      <c r="K70" s="360"/>
      <c r="L70" s="357">
        <v>0</v>
      </c>
      <c r="M70" s="354"/>
      <c r="N70" s="357"/>
      <c r="O70" s="363"/>
      <c r="P70" s="124">
        <v>4</v>
      </c>
      <c r="Q70" s="178" t="s">
        <v>356</v>
      </c>
      <c r="R70" s="125" t="s">
        <v>4</v>
      </c>
      <c r="S70" s="170" t="s">
        <v>15</v>
      </c>
      <c r="T70" s="170" t="s">
        <v>9</v>
      </c>
      <c r="U70" s="127" t="s">
        <v>352</v>
      </c>
      <c r="V70" s="170" t="s">
        <v>19</v>
      </c>
      <c r="W70" s="170" t="s">
        <v>23</v>
      </c>
      <c r="X70" s="170" t="s">
        <v>111</v>
      </c>
      <c r="Y70" s="128">
        <f t="shared" ref="Y70:Y72" si="75">IFERROR(IF(AND(R69="Probabilidad",R70="Probabilidad"),(AA69-(+AA69*U70)),IF(AND(R69="Impacto",R70="Probabilidad"),(AA68-(+AA68*U70)),IF(R70="Impacto",AA69,""))),"")</f>
        <v>0.14111999999999997</v>
      </c>
      <c r="Z70" s="129" t="s">
        <v>47</v>
      </c>
      <c r="AA70" s="130">
        <v>0.14111999999999997</v>
      </c>
      <c r="AB70" s="129" t="s">
        <v>77</v>
      </c>
      <c r="AC70" s="130">
        <v>0.6</v>
      </c>
      <c r="AD70" s="131" t="s">
        <v>77</v>
      </c>
      <c r="AE70" s="181" t="s">
        <v>257</v>
      </c>
      <c r="AF70" s="180" t="s">
        <v>357</v>
      </c>
      <c r="AG70" s="175" t="s">
        <v>348</v>
      </c>
      <c r="AH70" s="182" t="s">
        <v>349</v>
      </c>
      <c r="AI70" s="182" t="s">
        <v>350</v>
      </c>
      <c r="AJ70" s="175" t="s">
        <v>348</v>
      </c>
      <c r="AK70" s="176">
        <v>44683</v>
      </c>
      <c r="AL70" s="176">
        <v>44926</v>
      </c>
      <c r="AM70" s="351"/>
      <c r="AN70" s="351"/>
    </row>
    <row r="71" spans="1:70" s="135" customFormat="1" ht="43.5" customHeight="1">
      <c r="A71" s="342"/>
      <c r="B71" s="345"/>
      <c r="C71" s="345"/>
      <c r="D71" s="345"/>
      <c r="E71" s="345"/>
      <c r="F71" s="348"/>
      <c r="G71" s="345"/>
      <c r="H71" s="351"/>
      <c r="I71" s="354"/>
      <c r="J71" s="357"/>
      <c r="K71" s="360"/>
      <c r="L71" s="357">
        <v>0</v>
      </c>
      <c r="M71" s="354"/>
      <c r="N71" s="357"/>
      <c r="O71" s="363"/>
      <c r="P71" s="124">
        <v>5</v>
      </c>
      <c r="Q71" s="178" t="s">
        <v>358</v>
      </c>
      <c r="R71" s="125" t="s">
        <v>2</v>
      </c>
      <c r="S71" s="170" t="s">
        <v>16</v>
      </c>
      <c r="T71" s="170" t="s">
        <v>9</v>
      </c>
      <c r="U71" s="127" t="s">
        <v>359</v>
      </c>
      <c r="V71" s="170" t="s">
        <v>19</v>
      </c>
      <c r="W71" s="170" t="s">
        <v>22</v>
      </c>
      <c r="X71" s="170" t="s">
        <v>111</v>
      </c>
      <c r="Y71" s="128">
        <f t="shared" si="75"/>
        <v>0.14111999999999997</v>
      </c>
      <c r="Z71" s="129" t="s">
        <v>47</v>
      </c>
      <c r="AA71" s="130">
        <v>0.14111999999999997</v>
      </c>
      <c r="AB71" s="129" t="s">
        <v>77</v>
      </c>
      <c r="AC71" s="130">
        <v>0.44999999999999996</v>
      </c>
      <c r="AD71" s="131" t="s">
        <v>77</v>
      </c>
      <c r="AE71" s="181" t="s">
        <v>257</v>
      </c>
      <c r="AF71" s="180" t="s">
        <v>360</v>
      </c>
      <c r="AG71" s="175" t="s">
        <v>348</v>
      </c>
      <c r="AH71" s="182" t="s">
        <v>349</v>
      </c>
      <c r="AI71" s="182" t="s">
        <v>350</v>
      </c>
      <c r="AJ71" s="175" t="s">
        <v>348</v>
      </c>
      <c r="AK71" s="176">
        <v>44683</v>
      </c>
      <c r="AL71" s="176">
        <v>44926</v>
      </c>
      <c r="AM71" s="351"/>
      <c r="AN71" s="351"/>
    </row>
    <row r="72" spans="1:70" s="135" customFormat="1" ht="43.5" customHeight="1">
      <c r="A72" s="343"/>
      <c r="B72" s="346"/>
      <c r="C72" s="346"/>
      <c r="D72" s="346"/>
      <c r="E72" s="346"/>
      <c r="F72" s="349"/>
      <c r="G72" s="346"/>
      <c r="H72" s="352"/>
      <c r="I72" s="355"/>
      <c r="J72" s="358"/>
      <c r="K72" s="361"/>
      <c r="L72" s="358">
        <v>0</v>
      </c>
      <c r="M72" s="355"/>
      <c r="N72" s="358"/>
      <c r="O72" s="364"/>
      <c r="P72" s="124">
        <v>6</v>
      </c>
      <c r="Q72" s="178"/>
      <c r="R72" s="125" t="s">
        <v>361</v>
      </c>
      <c r="S72" s="170"/>
      <c r="T72" s="170"/>
      <c r="U72" s="127" t="s">
        <v>361</v>
      </c>
      <c r="V72" s="170"/>
      <c r="W72" s="170"/>
      <c r="X72" s="170"/>
      <c r="Y72" s="128" t="str">
        <f t="shared" si="75"/>
        <v/>
      </c>
      <c r="Z72" s="129" t="s">
        <v>361</v>
      </c>
      <c r="AA72" s="130" t="s">
        <v>361</v>
      </c>
      <c r="AB72" s="129" t="s">
        <v>361</v>
      </c>
      <c r="AC72" s="130" t="s">
        <v>361</v>
      </c>
      <c r="AD72" s="131" t="s">
        <v>361</v>
      </c>
      <c r="AE72" s="181"/>
      <c r="AF72" s="180"/>
      <c r="AG72" s="175"/>
      <c r="AH72" s="175"/>
      <c r="AI72" s="175"/>
      <c r="AJ72" s="175"/>
      <c r="AK72" s="176"/>
      <c r="AL72" s="176"/>
      <c r="AM72" s="352"/>
      <c r="AN72" s="352"/>
    </row>
    <row r="73" spans="1:70" ht="81.75" customHeight="1">
      <c r="A73" s="341">
        <v>11</v>
      </c>
      <c r="B73" s="344" t="s">
        <v>204</v>
      </c>
      <c r="C73" s="344" t="s">
        <v>123</v>
      </c>
      <c r="D73" s="344" t="s">
        <v>362</v>
      </c>
      <c r="E73" s="344" t="s">
        <v>363</v>
      </c>
      <c r="F73" s="347" t="s">
        <v>364</v>
      </c>
      <c r="G73" s="344" t="s">
        <v>115</v>
      </c>
      <c r="H73" s="350">
        <v>300</v>
      </c>
      <c r="I73" s="353" t="s">
        <v>99</v>
      </c>
      <c r="J73" s="356">
        <v>0.6</v>
      </c>
      <c r="K73" s="359" t="s">
        <v>138</v>
      </c>
      <c r="L73" s="356" t="s">
        <v>138</v>
      </c>
      <c r="M73" s="353" t="s">
        <v>7</v>
      </c>
      <c r="N73" s="356">
        <v>0.8</v>
      </c>
      <c r="O73" s="362" t="s">
        <v>76</v>
      </c>
      <c r="P73" s="124">
        <v>1</v>
      </c>
      <c r="Q73" s="178" t="s">
        <v>365</v>
      </c>
      <c r="R73" s="125" t="s">
        <v>4</v>
      </c>
      <c r="S73" s="170" t="s">
        <v>14</v>
      </c>
      <c r="T73" s="170" t="s">
        <v>9</v>
      </c>
      <c r="U73" s="127" t="s">
        <v>346</v>
      </c>
      <c r="V73" s="170" t="s">
        <v>19</v>
      </c>
      <c r="W73" s="170" t="s">
        <v>23</v>
      </c>
      <c r="X73" s="170" t="s">
        <v>111</v>
      </c>
      <c r="Y73" s="128">
        <f>IFERROR(IF(R73="Probabilidad",(J73-(+J73*U73)),IF(R73="Impacto",J73,"")),"")</f>
        <v>0.36</v>
      </c>
      <c r="Z73" s="129" t="s">
        <v>49</v>
      </c>
      <c r="AA73" s="130">
        <v>0.36</v>
      </c>
      <c r="AB73" s="129" t="s">
        <v>7</v>
      </c>
      <c r="AC73" s="130">
        <v>0.8</v>
      </c>
      <c r="AD73" s="131" t="s">
        <v>76</v>
      </c>
      <c r="AE73" s="181" t="s">
        <v>257</v>
      </c>
      <c r="AF73" s="180" t="s">
        <v>366</v>
      </c>
      <c r="AG73" s="175" t="s">
        <v>367</v>
      </c>
      <c r="AH73" s="175" t="s">
        <v>368</v>
      </c>
      <c r="AI73" s="175" t="s">
        <v>369</v>
      </c>
      <c r="AJ73" s="175" t="s">
        <v>370</v>
      </c>
      <c r="AK73" s="176">
        <v>44682</v>
      </c>
      <c r="AL73" s="176">
        <v>44926</v>
      </c>
      <c r="AM73" s="350" t="s">
        <v>371</v>
      </c>
      <c r="AN73" s="350"/>
    </row>
    <row r="74" spans="1:70" ht="243">
      <c r="A74" s="342"/>
      <c r="B74" s="345"/>
      <c r="C74" s="345"/>
      <c r="D74" s="345"/>
      <c r="E74" s="345"/>
      <c r="F74" s="348"/>
      <c r="G74" s="345"/>
      <c r="H74" s="351"/>
      <c r="I74" s="354"/>
      <c r="J74" s="357"/>
      <c r="K74" s="360"/>
      <c r="L74" s="357">
        <v>0</v>
      </c>
      <c r="M74" s="354"/>
      <c r="N74" s="357"/>
      <c r="O74" s="363"/>
      <c r="P74" s="124">
        <v>2</v>
      </c>
      <c r="Q74" s="178" t="s">
        <v>372</v>
      </c>
      <c r="R74" s="125" t="s">
        <v>4</v>
      </c>
      <c r="S74" s="170" t="s">
        <v>15</v>
      </c>
      <c r="T74" s="170" t="s">
        <v>9</v>
      </c>
      <c r="U74" s="127" t="s">
        <v>352</v>
      </c>
      <c r="V74" s="170" t="s">
        <v>19</v>
      </c>
      <c r="W74" s="170" t="s">
        <v>23</v>
      </c>
      <c r="X74" s="170" t="s">
        <v>111</v>
      </c>
      <c r="Y74" s="128">
        <f>IFERROR(IF(AND(R73="Probabilidad",R74="Probabilidad"),(AA73-(+AA73*U74)),IF(R74="Probabilidad",(J73-(+J73*U74)),IF(R74="Impacto",AA73,""))),"")</f>
        <v>0.252</v>
      </c>
      <c r="Z74" s="129" t="s">
        <v>49</v>
      </c>
      <c r="AA74" s="130">
        <v>0.252</v>
      </c>
      <c r="AB74" s="129" t="s">
        <v>7</v>
      </c>
      <c r="AC74" s="130">
        <v>0.8</v>
      </c>
      <c r="AD74" s="131" t="s">
        <v>76</v>
      </c>
      <c r="AE74" s="181" t="s">
        <v>257</v>
      </c>
      <c r="AF74" s="180" t="s">
        <v>373</v>
      </c>
      <c r="AG74" s="175" t="s">
        <v>367</v>
      </c>
      <c r="AH74" s="175" t="s">
        <v>368</v>
      </c>
      <c r="AI74" s="175" t="s">
        <v>369</v>
      </c>
      <c r="AJ74" s="175" t="s">
        <v>370</v>
      </c>
      <c r="AK74" s="176">
        <v>44682</v>
      </c>
      <c r="AL74" s="176">
        <v>44926</v>
      </c>
      <c r="AM74" s="351"/>
      <c r="AN74" s="351"/>
    </row>
    <row r="75" spans="1:70">
      <c r="A75" s="342"/>
      <c r="B75" s="345"/>
      <c r="C75" s="345"/>
      <c r="D75" s="345"/>
      <c r="E75" s="345"/>
      <c r="F75" s="348"/>
      <c r="G75" s="345"/>
      <c r="H75" s="351"/>
      <c r="I75" s="354"/>
      <c r="J75" s="357"/>
      <c r="K75" s="360"/>
      <c r="L75" s="357">
        <v>0</v>
      </c>
      <c r="M75" s="354"/>
      <c r="N75" s="357"/>
      <c r="O75" s="363"/>
      <c r="P75" s="124">
        <v>3</v>
      </c>
      <c r="Q75" s="178"/>
      <c r="R75" s="125" t="s">
        <v>361</v>
      </c>
      <c r="S75" s="170"/>
      <c r="T75" s="170"/>
      <c r="U75" s="127" t="s">
        <v>361</v>
      </c>
      <c r="V75" s="170"/>
      <c r="W75" s="170"/>
      <c r="X75" s="170"/>
      <c r="Y75" s="128" t="str">
        <f>IFERROR(IF(AND(R74="Probabilidad",R75="Probabilidad"),(AA74-(+AA74*U75)),IF(AND(R74="Impacto",R75="Probabilidad"),(AA73-(+AA73*U75)),IF(R75="Impacto",AA74,""))),"")</f>
        <v/>
      </c>
      <c r="Z75" s="129" t="s">
        <v>361</v>
      </c>
      <c r="AA75" s="130" t="s">
        <v>361</v>
      </c>
      <c r="AB75" s="129" t="s">
        <v>361</v>
      </c>
      <c r="AC75" s="130" t="s">
        <v>361</v>
      </c>
      <c r="AD75" s="131" t="s">
        <v>361</v>
      </c>
      <c r="AE75" s="181"/>
      <c r="AF75" s="180"/>
      <c r="AG75" s="175"/>
      <c r="AH75" s="175"/>
      <c r="AI75" s="175"/>
      <c r="AJ75" s="175"/>
      <c r="AK75" s="176"/>
      <c r="AL75" s="176"/>
      <c r="AM75" s="351"/>
      <c r="AN75" s="351"/>
    </row>
    <row r="76" spans="1:70">
      <c r="A76" s="342"/>
      <c r="B76" s="345"/>
      <c r="C76" s="345"/>
      <c r="D76" s="345"/>
      <c r="E76" s="345"/>
      <c r="F76" s="348"/>
      <c r="G76" s="345"/>
      <c r="H76" s="351"/>
      <c r="I76" s="354"/>
      <c r="J76" s="357"/>
      <c r="K76" s="360"/>
      <c r="L76" s="357">
        <v>0</v>
      </c>
      <c r="M76" s="354"/>
      <c r="N76" s="357"/>
      <c r="O76" s="363"/>
      <c r="P76" s="124">
        <v>4</v>
      </c>
      <c r="Q76" s="178"/>
      <c r="R76" s="125" t="s">
        <v>361</v>
      </c>
      <c r="S76" s="170"/>
      <c r="T76" s="170"/>
      <c r="U76" s="127" t="s">
        <v>361</v>
      </c>
      <c r="V76" s="170"/>
      <c r="W76" s="170"/>
      <c r="X76" s="170"/>
      <c r="Y76" s="128" t="str">
        <f t="shared" ref="Y76:Y78" si="76">IFERROR(IF(AND(R75="Probabilidad",R76="Probabilidad"),(AA75-(+AA75*U76)),IF(AND(R75="Impacto",R76="Probabilidad"),(AA74-(+AA74*U76)),IF(R76="Impacto",AA75,""))),"")</f>
        <v/>
      </c>
      <c r="Z76" s="129" t="s">
        <v>361</v>
      </c>
      <c r="AA76" s="130" t="s">
        <v>361</v>
      </c>
      <c r="AB76" s="129" t="s">
        <v>361</v>
      </c>
      <c r="AC76" s="130" t="s">
        <v>361</v>
      </c>
      <c r="AD76" s="131" t="s">
        <v>361</v>
      </c>
      <c r="AE76" s="181"/>
      <c r="AF76" s="180"/>
      <c r="AG76" s="175"/>
      <c r="AH76" s="175"/>
      <c r="AI76" s="175"/>
      <c r="AJ76" s="175"/>
      <c r="AK76" s="176"/>
      <c r="AL76" s="176"/>
      <c r="AM76" s="351"/>
      <c r="AN76" s="351"/>
    </row>
    <row r="77" spans="1:70">
      <c r="A77" s="342"/>
      <c r="B77" s="345"/>
      <c r="C77" s="345"/>
      <c r="D77" s="345"/>
      <c r="E77" s="345"/>
      <c r="F77" s="348"/>
      <c r="G77" s="345"/>
      <c r="H77" s="351"/>
      <c r="I77" s="354"/>
      <c r="J77" s="357"/>
      <c r="K77" s="360"/>
      <c r="L77" s="357">
        <v>0</v>
      </c>
      <c r="M77" s="354"/>
      <c r="N77" s="357"/>
      <c r="O77" s="363"/>
      <c r="P77" s="124">
        <v>5</v>
      </c>
      <c r="Q77" s="178"/>
      <c r="R77" s="125" t="s">
        <v>361</v>
      </c>
      <c r="S77" s="170"/>
      <c r="T77" s="170"/>
      <c r="U77" s="127" t="s">
        <v>361</v>
      </c>
      <c r="V77" s="170"/>
      <c r="W77" s="170"/>
      <c r="X77" s="170"/>
      <c r="Y77" s="128" t="str">
        <f t="shared" si="76"/>
        <v/>
      </c>
      <c r="Z77" s="129" t="s">
        <v>361</v>
      </c>
      <c r="AA77" s="130" t="s">
        <v>361</v>
      </c>
      <c r="AB77" s="129" t="s">
        <v>361</v>
      </c>
      <c r="AC77" s="130" t="s">
        <v>361</v>
      </c>
      <c r="AD77" s="131" t="s">
        <v>361</v>
      </c>
      <c r="AE77" s="181"/>
      <c r="AF77" s="180"/>
      <c r="AG77" s="175"/>
      <c r="AH77" s="175"/>
      <c r="AI77" s="175"/>
      <c r="AJ77" s="175"/>
      <c r="AK77" s="176"/>
      <c r="AL77" s="176"/>
      <c r="AM77" s="351"/>
      <c r="AN77" s="351"/>
    </row>
    <row r="78" spans="1:70">
      <c r="A78" s="343"/>
      <c r="B78" s="346"/>
      <c r="C78" s="346"/>
      <c r="D78" s="346"/>
      <c r="E78" s="346"/>
      <c r="F78" s="349"/>
      <c r="G78" s="346"/>
      <c r="H78" s="352"/>
      <c r="I78" s="355"/>
      <c r="J78" s="358"/>
      <c r="K78" s="361"/>
      <c r="L78" s="358">
        <v>0</v>
      </c>
      <c r="M78" s="355"/>
      <c r="N78" s="358"/>
      <c r="O78" s="364"/>
      <c r="P78" s="124">
        <v>6</v>
      </c>
      <c r="Q78" s="178"/>
      <c r="R78" s="125" t="s">
        <v>361</v>
      </c>
      <c r="S78" s="170"/>
      <c r="T78" s="170"/>
      <c r="U78" s="127" t="s">
        <v>361</v>
      </c>
      <c r="V78" s="170"/>
      <c r="W78" s="170"/>
      <c r="X78" s="170"/>
      <c r="Y78" s="128" t="str">
        <f t="shared" si="76"/>
        <v/>
      </c>
      <c r="Z78" s="129" t="s">
        <v>361</v>
      </c>
      <c r="AA78" s="130" t="s">
        <v>361</v>
      </c>
      <c r="AB78" s="129" t="s">
        <v>361</v>
      </c>
      <c r="AC78" s="130" t="s">
        <v>361</v>
      </c>
      <c r="AD78" s="131" t="s">
        <v>361</v>
      </c>
      <c r="AE78" s="181"/>
      <c r="AF78" s="180"/>
      <c r="AG78" s="175"/>
      <c r="AH78" s="175"/>
      <c r="AI78" s="175"/>
      <c r="AJ78" s="175"/>
      <c r="AK78" s="176"/>
      <c r="AL78" s="176"/>
      <c r="AM78" s="352"/>
      <c r="AN78" s="352"/>
    </row>
    <row r="79" spans="1:70" ht="67.5" customHeight="1">
      <c r="A79" s="341">
        <v>12</v>
      </c>
      <c r="B79" s="344" t="s">
        <v>205</v>
      </c>
      <c r="C79" s="344" t="s">
        <v>123</v>
      </c>
      <c r="D79" s="344" t="s">
        <v>1313</v>
      </c>
      <c r="E79" s="344" t="s">
        <v>374</v>
      </c>
      <c r="F79" s="347" t="s">
        <v>375</v>
      </c>
      <c r="G79" s="344" t="s">
        <v>120</v>
      </c>
      <c r="H79" s="350">
        <v>300</v>
      </c>
      <c r="I79" s="353" t="s">
        <v>99</v>
      </c>
      <c r="J79" s="356">
        <v>0.6</v>
      </c>
      <c r="K79" s="359" t="s">
        <v>142</v>
      </c>
      <c r="L79" s="356" t="s">
        <v>142</v>
      </c>
      <c r="M79" s="353" t="s">
        <v>77</v>
      </c>
      <c r="N79" s="356">
        <v>0.6</v>
      </c>
      <c r="O79" s="362" t="s">
        <v>77</v>
      </c>
      <c r="P79" s="226">
        <v>1</v>
      </c>
      <c r="Q79" s="224" t="s">
        <v>1314</v>
      </c>
      <c r="R79" s="227" t="s">
        <v>4</v>
      </c>
      <c r="S79" s="228" t="s">
        <v>14</v>
      </c>
      <c r="T79" s="228" t="s">
        <v>9</v>
      </c>
      <c r="U79" s="229" t="s">
        <v>346</v>
      </c>
      <c r="V79" s="228" t="s">
        <v>19</v>
      </c>
      <c r="W79" s="228" t="s">
        <v>22</v>
      </c>
      <c r="X79" s="228" t="s">
        <v>111</v>
      </c>
      <c r="Y79" s="230">
        <f>IFERROR(IF(R79="Probabilidad",(J79-(+J79*U79)),IF(R79="Impacto",J79,"")),"")</f>
        <v>0.36</v>
      </c>
      <c r="Z79" s="231" t="s">
        <v>49</v>
      </c>
      <c r="AA79" s="232">
        <v>0.36</v>
      </c>
      <c r="AB79" s="231" t="s">
        <v>77</v>
      </c>
      <c r="AC79" s="232">
        <v>0.6</v>
      </c>
      <c r="AD79" s="233" t="s">
        <v>77</v>
      </c>
      <c r="AE79" s="283" t="s">
        <v>257</v>
      </c>
      <c r="AF79" s="282" t="s">
        <v>1315</v>
      </c>
      <c r="AG79" s="236" t="s">
        <v>1316</v>
      </c>
      <c r="AH79" s="236" t="s">
        <v>378</v>
      </c>
      <c r="AI79" s="236" t="s">
        <v>1317</v>
      </c>
      <c r="AJ79" s="236" t="s">
        <v>1318</v>
      </c>
      <c r="AK79" s="237">
        <v>44680</v>
      </c>
      <c r="AL79" s="237">
        <v>44925</v>
      </c>
      <c r="AM79" s="350">
        <v>4093</v>
      </c>
      <c r="AN79" s="350"/>
    </row>
    <row r="80" spans="1:70" ht="54">
      <c r="A80" s="342"/>
      <c r="B80" s="345"/>
      <c r="C80" s="345"/>
      <c r="D80" s="345"/>
      <c r="E80" s="345"/>
      <c r="F80" s="348"/>
      <c r="G80" s="345"/>
      <c r="H80" s="351"/>
      <c r="I80" s="354"/>
      <c r="J80" s="357"/>
      <c r="K80" s="360"/>
      <c r="L80" s="357">
        <v>0</v>
      </c>
      <c r="M80" s="354"/>
      <c r="N80" s="357"/>
      <c r="O80" s="363"/>
      <c r="P80" s="226">
        <v>2</v>
      </c>
      <c r="Q80" s="224" t="s">
        <v>1319</v>
      </c>
      <c r="R80" s="227" t="s">
        <v>4</v>
      </c>
      <c r="S80" s="228" t="s">
        <v>14</v>
      </c>
      <c r="T80" s="228" t="s">
        <v>9</v>
      </c>
      <c r="U80" s="229" t="s">
        <v>346</v>
      </c>
      <c r="V80" s="228" t="s">
        <v>19</v>
      </c>
      <c r="W80" s="228" t="s">
        <v>22</v>
      </c>
      <c r="X80" s="228" t="s">
        <v>111</v>
      </c>
      <c r="Y80" s="230">
        <f>IFERROR(IF(AND(R79="Probabilidad",R80="Probabilidad"),(AA79-(+AA79*U80)),IF(R80="Probabilidad",(J79-(+J79*U80)),IF(R80="Impacto",AA79,""))),"")</f>
        <v>0.216</v>
      </c>
      <c r="Z80" s="231" t="s">
        <v>49</v>
      </c>
      <c r="AA80" s="232">
        <v>0.216</v>
      </c>
      <c r="AB80" s="231" t="s">
        <v>77</v>
      </c>
      <c r="AC80" s="232">
        <v>0.6</v>
      </c>
      <c r="AD80" s="233" t="s">
        <v>77</v>
      </c>
      <c r="AE80" s="283" t="s">
        <v>32</v>
      </c>
      <c r="AF80" s="282" t="s">
        <v>1320</v>
      </c>
      <c r="AG80" s="236" t="s">
        <v>1316</v>
      </c>
      <c r="AH80" s="236" t="s">
        <v>378</v>
      </c>
      <c r="AI80" s="236" t="s">
        <v>1317</v>
      </c>
      <c r="AJ80" s="236" t="s">
        <v>1318</v>
      </c>
      <c r="AK80" s="237">
        <v>44680</v>
      </c>
      <c r="AL80" s="237">
        <v>44925</v>
      </c>
      <c r="AM80" s="351"/>
      <c r="AN80" s="351"/>
    </row>
    <row r="81" spans="1:40">
      <c r="A81" s="342"/>
      <c r="B81" s="345"/>
      <c r="C81" s="345"/>
      <c r="D81" s="345"/>
      <c r="E81" s="345"/>
      <c r="F81" s="348"/>
      <c r="G81" s="345"/>
      <c r="H81" s="351"/>
      <c r="I81" s="354"/>
      <c r="J81" s="357"/>
      <c r="K81" s="360"/>
      <c r="L81" s="357">
        <v>0</v>
      </c>
      <c r="M81" s="354"/>
      <c r="N81" s="357"/>
      <c r="O81" s="363"/>
      <c r="P81" s="226">
        <v>3</v>
      </c>
      <c r="Q81" s="224"/>
      <c r="R81" s="227" t="s">
        <v>361</v>
      </c>
      <c r="S81" s="228"/>
      <c r="T81" s="228"/>
      <c r="U81" s="229" t="s">
        <v>361</v>
      </c>
      <c r="V81" s="228"/>
      <c r="W81" s="228"/>
      <c r="X81" s="228"/>
      <c r="Y81" s="230" t="str">
        <f>IFERROR(IF(AND(R80="Probabilidad",R81="Probabilidad"),(AA80-(+AA80*U81)),IF(AND(R80="Impacto",R81="Probabilidad"),(AA79-(+AA79*U81)),IF(R81="Impacto",AA80,""))),"")</f>
        <v/>
      </c>
      <c r="Z81" s="231" t="s">
        <v>361</v>
      </c>
      <c r="AA81" s="232" t="s">
        <v>361</v>
      </c>
      <c r="AB81" s="231" t="s">
        <v>361</v>
      </c>
      <c r="AC81" s="232" t="s">
        <v>361</v>
      </c>
      <c r="AD81" s="233" t="s">
        <v>361</v>
      </c>
      <c r="AE81" s="283"/>
      <c r="AF81" s="282"/>
      <c r="AG81" s="236"/>
      <c r="AH81" s="236"/>
      <c r="AI81" s="236"/>
      <c r="AJ81" s="236"/>
      <c r="AK81" s="237"/>
      <c r="AL81" s="237"/>
      <c r="AM81" s="351"/>
      <c r="AN81" s="351"/>
    </row>
    <row r="82" spans="1:40">
      <c r="A82" s="342"/>
      <c r="B82" s="345"/>
      <c r="C82" s="345"/>
      <c r="D82" s="345"/>
      <c r="E82" s="345"/>
      <c r="F82" s="348"/>
      <c r="G82" s="345"/>
      <c r="H82" s="351"/>
      <c r="I82" s="354"/>
      <c r="J82" s="357"/>
      <c r="K82" s="360"/>
      <c r="L82" s="357">
        <v>0</v>
      </c>
      <c r="M82" s="354"/>
      <c r="N82" s="357"/>
      <c r="O82" s="363"/>
      <c r="P82" s="226">
        <v>4</v>
      </c>
      <c r="Q82" s="224"/>
      <c r="R82" s="227" t="s">
        <v>361</v>
      </c>
      <c r="S82" s="228"/>
      <c r="T82" s="228"/>
      <c r="U82" s="229" t="s">
        <v>361</v>
      </c>
      <c r="V82" s="228"/>
      <c r="W82" s="228"/>
      <c r="X82" s="228"/>
      <c r="Y82" s="230" t="str">
        <f t="shared" ref="Y82:Y84" si="77">IFERROR(IF(AND(R81="Probabilidad",R82="Probabilidad"),(AA81-(+AA81*U82)),IF(AND(R81="Impacto",R82="Probabilidad"),(AA80-(+AA80*U82)),IF(R82="Impacto",AA81,""))),"")</f>
        <v/>
      </c>
      <c r="Z82" s="231" t="s">
        <v>361</v>
      </c>
      <c r="AA82" s="232" t="s">
        <v>361</v>
      </c>
      <c r="AB82" s="231" t="s">
        <v>361</v>
      </c>
      <c r="AC82" s="232" t="s">
        <v>361</v>
      </c>
      <c r="AD82" s="233" t="s">
        <v>361</v>
      </c>
      <c r="AE82" s="283"/>
      <c r="AF82" s="282"/>
      <c r="AG82" s="236"/>
      <c r="AH82" s="236"/>
      <c r="AI82" s="236"/>
      <c r="AJ82" s="236"/>
      <c r="AK82" s="237"/>
      <c r="AL82" s="237"/>
      <c r="AM82" s="351"/>
      <c r="AN82" s="351"/>
    </row>
    <row r="83" spans="1:40">
      <c r="A83" s="342"/>
      <c r="B83" s="345"/>
      <c r="C83" s="345"/>
      <c r="D83" s="345"/>
      <c r="E83" s="345"/>
      <c r="F83" s="348"/>
      <c r="G83" s="345"/>
      <c r="H83" s="351"/>
      <c r="I83" s="354"/>
      <c r="J83" s="357"/>
      <c r="K83" s="360"/>
      <c r="L83" s="357">
        <v>0</v>
      </c>
      <c r="M83" s="354"/>
      <c r="N83" s="357"/>
      <c r="O83" s="363"/>
      <c r="P83" s="226">
        <v>5</v>
      </c>
      <c r="Q83" s="224"/>
      <c r="R83" s="227" t="s">
        <v>361</v>
      </c>
      <c r="S83" s="228"/>
      <c r="T83" s="228"/>
      <c r="U83" s="229" t="s">
        <v>361</v>
      </c>
      <c r="V83" s="228"/>
      <c r="W83" s="228"/>
      <c r="X83" s="228"/>
      <c r="Y83" s="230" t="str">
        <f t="shared" si="77"/>
        <v/>
      </c>
      <c r="Z83" s="231" t="s">
        <v>361</v>
      </c>
      <c r="AA83" s="232" t="s">
        <v>361</v>
      </c>
      <c r="AB83" s="231" t="s">
        <v>361</v>
      </c>
      <c r="AC83" s="232" t="s">
        <v>361</v>
      </c>
      <c r="AD83" s="233" t="s">
        <v>361</v>
      </c>
      <c r="AE83" s="283"/>
      <c r="AF83" s="282"/>
      <c r="AG83" s="236"/>
      <c r="AH83" s="236"/>
      <c r="AI83" s="236"/>
      <c r="AJ83" s="236"/>
      <c r="AK83" s="237"/>
      <c r="AL83" s="237"/>
      <c r="AM83" s="351"/>
      <c r="AN83" s="351"/>
    </row>
    <row r="84" spans="1:40">
      <c r="A84" s="343"/>
      <c r="B84" s="346"/>
      <c r="C84" s="346"/>
      <c r="D84" s="346"/>
      <c r="E84" s="346"/>
      <c r="F84" s="349"/>
      <c r="G84" s="346"/>
      <c r="H84" s="352"/>
      <c r="I84" s="355"/>
      <c r="J84" s="358"/>
      <c r="K84" s="361"/>
      <c r="L84" s="358">
        <v>0</v>
      </c>
      <c r="M84" s="355"/>
      <c r="N84" s="358"/>
      <c r="O84" s="364"/>
      <c r="P84" s="226">
        <v>6</v>
      </c>
      <c r="Q84" s="224"/>
      <c r="R84" s="227" t="s">
        <v>361</v>
      </c>
      <c r="S84" s="228"/>
      <c r="T84" s="228"/>
      <c r="U84" s="229" t="s">
        <v>361</v>
      </c>
      <c r="V84" s="228"/>
      <c r="W84" s="228"/>
      <c r="X84" s="228"/>
      <c r="Y84" s="230" t="str">
        <f t="shared" si="77"/>
        <v/>
      </c>
      <c r="Z84" s="231" t="s">
        <v>361</v>
      </c>
      <c r="AA84" s="232" t="s">
        <v>361</v>
      </c>
      <c r="AB84" s="231" t="s">
        <v>361</v>
      </c>
      <c r="AC84" s="232" t="s">
        <v>361</v>
      </c>
      <c r="AD84" s="233" t="s">
        <v>361</v>
      </c>
      <c r="AE84" s="283"/>
      <c r="AF84" s="282"/>
      <c r="AG84" s="236"/>
      <c r="AH84" s="236"/>
      <c r="AI84" s="236"/>
      <c r="AJ84" s="236"/>
      <c r="AK84" s="237"/>
      <c r="AL84" s="237"/>
      <c r="AM84" s="352"/>
      <c r="AN84" s="352"/>
    </row>
    <row r="85" spans="1:40" ht="67.5" customHeight="1">
      <c r="A85" s="341">
        <v>13</v>
      </c>
      <c r="B85" s="344" t="s">
        <v>205</v>
      </c>
      <c r="C85" s="344" t="s">
        <v>123</v>
      </c>
      <c r="D85" s="344" t="s">
        <v>1321</v>
      </c>
      <c r="E85" s="344" t="s">
        <v>1322</v>
      </c>
      <c r="F85" s="347" t="s">
        <v>1323</v>
      </c>
      <c r="G85" s="344" t="s">
        <v>120</v>
      </c>
      <c r="H85" s="350">
        <v>10000</v>
      </c>
      <c r="I85" s="353" t="s">
        <v>50</v>
      </c>
      <c r="J85" s="356">
        <v>1</v>
      </c>
      <c r="K85" s="359" t="s">
        <v>143</v>
      </c>
      <c r="L85" s="356" t="s">
        <v>143</v>
      </c>
      <c r="M85" s="353" t="s">
        <v>7</v>
      </c>
      <c r="N85" s="356">
        <v>0.8</v>
      </c>
      <c r="O85" s="362" t="s">
        <v>76</v>
      </c>
      <c r="P85" s="226">
        <v>1</v>
      </c>
      <c r="Q85" s="224" t="s">
        <v>1324</v>
      </c>
      <c r="R85" s="227" t="s">
        <v>2</v>
      </c>
      <c r="S85" s="228" t="s">
        <v>16</v>
      </c>
      <c r="T85" s="228" t="s">
        <v>9</v>
      </c>
      <c r="U85" s="229" t="s">
        <v>359</v>
      </c>
      <c r="V85" s="228" t="s">
        <v>19</v>
      </c>
      <c r="W85" s="228" t="s">
        <v>22</v>
      </c>
      <c r="X85" s="228" t="s">
        <v>111</v>
      </c>
      <c r="Y85" s="230">
        <f>IFERROR(IF(R85="Probabilidad",(J85-(+J85*U85)),IF(R85="Impacto",J85,"")),"")</f>
        <v>1</v>
      </c>
      <c r="Z85" s="231" t="s">
        <v>50</v>
      </c>
      <c r="AA85" s="232">
        <v>1</v>
      </c>
      <c r="AB85" s="231" t="s">
        <v>77</v>
      </c>
      <c r="AC85" s="232">
        <v>0.60000000000000009</v>
      </c>
      <c r="AD85" s="233" t="s">
        <v>76</v>
      </c>
      <c r="AE85" s="283" t="s">
        <v>32</v>
      </c>
      <c r="AF85" s="282" t="s">
        <v>1325</v>
      </c>
      <c r="AG85" s="236" t="s">
        <v>1316</v>
      </c>
      <c r="AH85" s="236" t="s">
        <v>378</v>
      </c>
      <c r="AI85" s="236" t="s">
        <v>1317</v>
      </c>
      <c r="AJ85" s="236" t="s">
        <v>1318</v>
      </c>
      <c r="AK85" s="237">
        <v>44680</v>
      </c>
      <c r="AL85" s="237">
        <v>44925</v>
      </c>
      <c r="AM85" s="350">
        <v>4094</v>
      </c>
      <c r="AN85" s="350"/>
    </row>
    <row r="86" spans="1:40">
      <c r="A86" s="342"/>
      <c r="B86" s="345"/>
      <c r="C86" s="345"/>
      <c r="D86" s="345"/>
      <c r="E86" s="345"/>
      <c r="F86" s="348"/>
      <c r="G86" s="345"/>
      <c r="H86" s="351"/>
      <c r="I86" s="354"/>
      <c r="J86" s="357"/>
      <c r="K86" s="360"/>
      <c r="L86" s="357">
        <v>0</v>
      </c>
      <c r="M86" s="354"/>
      <c r="N86" s="357"/>
      <c r="O86" s="363"/>
      <c r="P86" s="226">
        <v>2</v>
      </c>
      <c r="Q86" s="224"/>
      <c r="R86" s="227" t="s">
        <v>361</v>
      </c>
      <c r="S86" s="228"/>
      <c r="T86" s="228"/>
      <c r="U86" s="229" t="s">
        <v>361</v>
      </c>
      <c r="V86" s="228"/>
      <c r="W86" s="228"/>
      <c r="X86" s="228"/>
      <c r="Y86" s="230" t="str">
        <f>IFERROR(IF(AND(R85="Probabilidad",R86="Probabilidad"),(AA85-(+AA85*U86)),IF(R86="Probabilidad",(J85-(+J85*U86)),IF(R86="Impacto",AA85,""))),"")</f>
        <v/>
      </c>
      <c r="Z86" s="231" t="s">
        <v>361</v>
      </c>
      <c r="AA86" s="232" t="s">
        <v>361</v>
      </c>
      <c r="AB86" s="231" t="s">
        <v>361</v>
      </c>
      <c r="AC86" s="232" t="s">
        <v>361</v>
      </c>
      <c r="AD86" s="233" t="s">
        <v>361</v>
      </c>
      <c r="AE86" s="283"/>
      <c r="AF86" s="282"/>
      <c r="AG86" s="236"/>
      <c r="AH86" s="236"/>
      <c r="AI86" s="236"/>
      <c r="AJ86" s="236"/>
      <c r="AK86" s="237"/>
      <c r="AL86" s="237"/>
      <c r="AM86" s="351"/>
      <c r="AN86" s="351"/>
    </row>
    <row r="87" spans="1:40">
      <c r="A87" s="342"/>
      <c r="B87" s="345"/>
      <c r="C87" s="345"/>
      <c r="D87" s="345"/>
      <c r="E87" s="345"/>
      <c r="F87" s="348"/>
      <c r="G87" s="345"/>
      <c r="H87" s="351"/>
      <c r="I87" s="354"/>
      <c r="J87" s="357"/>
      <c r="K87" s="360"/>
      <c r="L87" s="357">
        <v>0</v>
      </c>
      <c r="M87" s="354"/>
      <c r="N87" s="357"/>
      <c r="O87" s="363"/>
      <c r="P87" s="226">
        <v>3</v>
      </c>
      <c r="Q87" s="225"/>
      <c r="R87" s="227" t="s">
        <v>361</v>
      </c>
      <c r="S87" s="228"/>
      <c r="T87" s="228"/>
      <c r="U87" s="229" t="s">
        <v>361</v>
      </c>
      <c r="V87" s="228"/>
      <c r="W87" s="228"/>
      <c r="X87" s="228"/>
      <c r="Y87" s="230" t="str">
        <f>IFERROR(IF(AND(R86="Probabilidad",R87="Probabilidad"),(AA86-(+AA86*U87)),IF(AND(R86="Impacto",R87="Probabilidad"),(AA85-(+AA85*U87)),IF(R87="Impacto",AA86,""))),"")</f>
        <v/>
      </c>
      <c r="Z87" s="231" t="s">
        <v>361</v>
      </c>
      <c r="AA87" s="232" t="s">
        <v>361</v>
      </c>
      <c r="AB87" s="231" t="s">
        <v>361</v>
      </c>
      <c r="AC87" s="232" t="s">
        <v>361</v>
      </c>
      <c r="AD87" s="233" t="s">
        <v>361</v>
      </c>
      <c r="AE87" s="283"/>
      <c r="AF87" s="282"/>
      <c r="AG87" s="236"/>
      <c r="AH87" s="236"/>
      <c r="AI87" s="236"/>
      <c r="AJ87" s="236"/>
      <c r="AK87" s="237"/>
      <c r="AL87" s="237"/>
      <c r="AM87" s="351"/>
      <c r="AN87" s="351"/>
    </row>
    <row r="88" spans="1:40">
      <c r="A88" s="342"/>
      <c r="B88" s="345"/>
      <c r="C88" s="345"/>
      <c r="D88" s="345"/>
      <c r="E88" s="345"/>
      <c r="F88" s="348"/>
      <c r="G88" s="345"/>
      <c r="H88" s="351"/>
      <c r="I88" s="354"/>
      <c r="J88" s="357"/>
      <c r="K88" s="360"/>
      <c r="L88" s="357">
        <v>0</v>
      </c>
      <c r="M88" s="354"/>
      <c r="N88" s="357"/>
      <c r="O88" s="363"/>
      <c r="P88" s="226">
        <v>4</v>
      </c>
      <c r="Q88" s="224"/>
      <c r="R88" s="227" t="s">
        <v>361</v>
      </c>
      <c r="S88" s="228"/>
      <c r="T88" s="228"/>
      <c r="U88" s="229" t="s">
        <v>361</v>
      </c>
      <c r="V88" s="228"/>
      <c r="W88" s="228"/>
      <c r="X88" s="228"/>
      <c r="Y88" s="230" t="str">
        <f t="shared" ref="Y88:Y90" si="78">IFERROR(IF(AND(R87="Probabilidad",R88="Probabilidad"),(AA87-(+AA87*U88)),IF(AND(R87="Impacto",R88="Probabilidad"),(AA86-(+AA86*U88)),IF(R88="Impacto",AA87,""))),"")</f>
        <v/>
      </c>
      <c r="Z88" s="231" t="s">
        <v>361</v>
      </c>
      <c r="AA88" s="232" t="s">
        <v>361</v>
      </c>
      <c r="AB88" s="231" t="s">
        <v>361</v>
      </c>
      <c r="AC88" s="232" t="s">
        <v>361</v>
      </c>
      <c r="AD88" s="233" t="s">
        <v>361</v>
      </c>
      <c r="AE88" s="283"/>
      <c r="AF88" s="282"/>
      <c r="AG88" s="236"/>
      <c r="AH88" s="236"/>
      <c r="AI88" s="236"/>
      <c r="AJ88" s="236"/>
      <c r="AK88" s="237"/>
      <c r="AL88" s="237"/>
      <c r="AM88" s="351"/>
      <c r="AN88" s="351"/>
    </row>
    <row r="89" spans="1:40">
      <c r="A89" s="342"/>
      <c r="B89" s="345"/>
      <c r="C89" s="345"/>
      <c r="D89" s="345"/>
      <c r="E89" s="345"/>
      <c r="F89" s="348"/>
      <c r="G89" s="345"/>
      <c r="H89" s="351"/>
      <c r="I89" s="354"/>
      <c r="J89" s="357"/>
      <c r="K89" s="360"/>
      <c r="L89" s="357">
        <v>0</v>
      </c>
      <c r="M89" s="354"/>
      <c r="N89" s="357"/>
      <c r="O89" s="363"/>
      <c r="P89" s="226">
        <v>5</v>
      </c>
      <c r="Q89" s="224"/>
      <c r="R89" s="227" t="s">
        <v>361</v>
      </c>
      <c r="S89" s="228"/>
      <c r="T89" s="228"/>
      <c r="U89" s="229" t="s">
        <v>361</v>
      </c>
      <c r="V89" s="228"/>
      <c r="W89" s="228"/>
      <c r="X89" s="228"/>
      <c r="Y89" s="230" t="str">
        <f t="shared" si="78"/>
        <v/>
      </c>
      <c r="Z89" s="231" t="s">
        <v>361</v>
      </c>
      <c r="AA89" s="232" t="s">
        <v>361</v>
      </c>
      <c r="AB89" s="231" t="s">
        <v>361</v>
      </c>
      <c r="AC89" s="232" t="s">
        <v>361</v>
      </c>
      <c r="AD89" s="233" t="s">
        <v>361</v>
      </c>
      <c r="AE89" s="283"/>
      <c r="AF89" s="282"/>
      <c r="AG89" s="236"/>
      <c r="AH89" s="236"/>
      <c r="AI89" s="236"/>
      <c r="AJ89" s="236"/>
      <c r="AK89" s="237"/>
      <c r="AL89" s="237"/>
      <c r="AM89" s="351"/>
      <c r="AN89" s="351"/>
    </row>
    <row r="90" spans="1:40">
      <c r="A90" s="343"/>
      <c r="B90" s="346"/>
      <c r="C90" s="346"/>
      <c r="D90" s="346"/>
      <c r="E90" s="346"/>
      <c r="F90" s="349"/>
      <c r="G90" s="346"/>
      <c r="H90" s="352"/>
      <c r="I90" s="355"/>
      <c r="J90" s="358"/>
      <c r="K90" s="361"/>
      <c r="L90" s="358">
        <v>0</v>
      </c>
      <c r="M90" s="355"/>
      <c r="N90" s="358"/>
      <c r="O90" s="364"/>
      <c r="P90" s="226">
        <v>6</v>
      </c>
      <c r="Q90" s="224"/>
      <c r="R90" s="227" t="s">
        <v>361</v>
      </c>
      <c r="S90" s="228"/>
      <c r="T90" s="228"/>
      <c r="U90" s="229" t="s">
        <v>361</v>
      </c>
      <c r="V90" s="228"/>
      <c r="W90" s="228"/>
      <c r="X90" s="228"/>
      <c r="Y90" s="230" t="str">
        <f t="shared" si="78"/>
        <v/>
      </c>
      <c r="Z90" s="231" t="s">
        <v>361</v>
      </c>
      <c r="AA90" s="232" t="s">
        <v>361</v>
      </c>
      <c r="AB90" s="231" t="s">
        <v>361</v>
      </c>
      <c r="AC90" s="232" t="s">
        <v>361</v>
      </c>
      <c r="AD90" s="233" t="s">
        <v>361</v>
      </c>
      <c r="AE90" s="283"/>
      <c r="AF90" s="282"/>
      <c r="AG90" s="236"/>
      <c r="AH90" s="236"/>
      <c r="AI90" s="236"/>
      <c r="AJ90" s="236"/>
      <c r="AK90" s="237"/>
      <c r="AL90" s="237"/>
      <c r="AM90" s="352"/>
      <c r="AN90" s="352"/>
    </row>
    <row r="91" spans="1:40" ht="108">
      <c r="A91" s="341">
        <v>14</v>
      </c>
      <c r="B91" s="344" t="s">
        <v>223</v>
      </c>
      <c r="C91" s="344" t="s">
        <v>123</v>
      </c>
      <c r="D91" s="344" t="s">
        <v>379</v>
      </c>
      <c r="E91" s="344" t="s">
        <v>380</v>
      </c>
      <c r="F91" s="347" t="s">
        <v>381</v>
      </c>
      <c r="G91" s="344" t="s">
        <v>120</v>
      </c>
      <c r="H91" s="350">
        <v>60520</v>
      </c>
      <c r="I91" s="353" t="s">
        <v>50</v>
      </c>
      <c r="J91" s="356">
        <v>1</v>
      </c>
      <c r="K91" s="359" t="s">
        <v>142</v>
      </c>
      <c r="L91" s="356" t="s">
        <v>142</v>
      </c>
      <c r="M91" s="353" t="s">
        <v>77</v>
      </c>
      <c r="N91" s="356">
        <v>0.6</v>
      </c>
      <c r="O91" s="362" t="s">
        <v>76</v>
      </c>
      <c r="P91" s="124">
        <v>1</v>
      </c>
      <c r="Q91" s="178" t="s">
        <v>382</v>
      </c>
      <c r="R91" s="125" t="s">
        <v>4</v>
      </c>
      <c r="S91" s="170" t="s">
        <v>14</v>
      </c>
      <c r="T91" s="170" t="s">
        <v>9</v>
      </c>
      <c r="U91" s="127" t="s">
        <v>346</v>
      </c>
      <c r="V91" s="170" t="s">
        <v>19</v>
      </c>
      <c r="W91" s="170" t="s">
        <v>22</v>
      </c>
      <c r="X91" s="170" t="s">
        <v>111</v>
      </c>
      <c r="Y91" s="128">
        <f>IFERROR(IF(R91="Probabilidad",(J91-(+J91*U91)),IF(R91="Impacto",J91,"")),"")</f>
        <v>0.6</v>
      </c>
      <c r="Z91" s="129" t="s">
        <v>99</v>
      </c>
      <c r="AA91" s="130">
        <v>0.6</v>
      </c>
      <c r="AB91" s="129" t="s">
        <v>77</v>
      </c>
      <c r="AC91" s="130">
        <v>0.6</v>
      </c>
      <c r="AD91" s="131" t="s">
        <v>77</v>
      </c>
      <c r="AE91" s="183" t="s">
        <v>257</v>
      </c>
      <c r="AF91" s="184" t="s">
        <v>383</v>
      </c>
      <c r="AG91" s="175" t="s">
        <v>266</v>
      </c>
      <c r="AH91" s="175" t="s">
        <v>267</v>
      </c>
      <c r="AI91" s="175" t="s">
        <v>268</v>
      </c>
      <c r="AJ91" s="175" t="s">
        <v>266</v>
      </c>
      <c r="AK91" s="176">
        <v>44701</v>
      </c>
      <c r="AL91" s="176">
        <v>44926</v>
      </c>
      <c r="AM91" s="344" t="s">
        <v>384</v>
      </c>
      <c r="AN91" s="350"/>
    </row>
    <row r="92" spans="1:40" ht="81">
      <c r="A92" s="342"/>
      <c r="B92" s="345"/>
      <c r="C92" s="345"/>
      <c r="D92" s="345"/>
      <c r="E92" s="345"/>
      <c r="F92" s="348"/>
      <c r="G92" s="345"/>
      <c r="H92" s="351"/>
      <c r="I92" s="354"/>
      <c r="J92" s="357"/>
      <c r="K92" s="360"/>
      <c r="L92" s="357">
        <v>0</v>
      </c>
      <c r="M92" s="354"/>
      <c r="N92" s="357"/>
      <c r="O92" s="363"/>
      <c r="P92" s="124">
        <v>2</v>
      </c>
      <c r="Q92" s="178" t="s">
        <v>385</v>
      </c>
      <c r="R92" s="125" t="s">
        <v>4</v>
      </c>
      <c r="S92" s="170" t="s">
        <v>15</v>
      </c>
      <c r="T92" s="170" t="s">
        <v>9</v>
      </c>
      <c r="U92" s="127" t="s">
        <v>352</v>
      </c>
      <c r="V92" s="170" t="s">
        <v>19</v>
      </c>
      <c r="W92" s="170" t="s">
        <v>23</v>
      </c>
      <c r="X92" s="170" t="s">
        <v>111</v>
      </c>
      <c r="Y92" s="128">
        <f>IFERROR(IF(AND(R91="Probabilidad",R92="Probabilidad"),(AA91-(+AA91*U92)),IF(R92="Probabilidad",(J91-(+J91*U92)),IF(R92="Impacto",AA91,""))),"")</f>
        <v>0.42</v>
      </c>
      <c r="Z92" s="129" t="s">
        <v>99</v>
      </c>
      <c r="AA92" s="130">
        <v>0.42</v>
      </c>
      <c r="AB92" s="129" t="s">
        <v>77</v>
      </c>
      <c r="AC92" s="130">
        <v>0.6</v>
      </c>
      <c r="AD92" s="131" t="s">
        <v>77</v>
      </c>
      <c r="AE92" s="183" t="s">
        <v>257</v>
      </c>
      <c r="AF92" s="184" t="s">
        <v>386</v>
      </c>
      <c r="AG92" s="175" t="s">
        <v>266</v>
      </c>
      <c r="AH92" s="175" t="s">
        <v>267</v>
      </c>
      <c r="AI92" s="175" t="s">
        <v>268</v>
      </c>
      <c r="AJ92" s="175" t="s">
        <v>266</v>
      </c>
      <c r="AK92" s="176">
        <v>44701</v>
      </c>
      <c r="AL92" s="176">
        <v>44926</v>
      </c>
      <c r="AM92" s="351"/>
      <c r="AN92" s="351"/>
    </row>
    <row r="93" spans="1:40" ht="54">
      <c r="A93" s="342"/>
      <c r="B93" s="345"/>
      <c r="C93" s="345"/>
      <c r="D93" s="345"/>
      <c r="E93" s="345"/>
      <c r="F93" s="348"/>
      <c r="G93" s="345"/>
      <c r="H93" s="351"/>
      <c r="I93" s="354"/>
      <c r="J93" s="357"/>
      <c r="K93" s="360"/>
      <c r="L93" s="357">
        <v>0</v>
      </c>
      <c r="M93" s="354"/>
      <c r="N93" s="357"/>
      <c r="O93" s="363"/>
      <c r="P93" s="124">
        <v>3</v>
      </c>
      <c r="Q93" s="178" t="s">
        <v>387</v>
      </c>
      <c r="R93" s="125" t="s">
        <v>2</v>
      </c>
      <c r="S93" s="170" t="s">
        <v>16</v>
      </c>
      <c r="T93" s="170" t="s">
        <v>9</v>
      </c>
      <c r="U93" s="127" t="s">
        <v>359</v>
      </c>
      <c r="V93" s="170" t="s">
        <v>19</v>
      </c>
      <c r="W93" s="170" t="s">
        <v>22</v>
      </c>
      <c r="X93" s="170" t="s">
        <v>111</v>
      </c>
      <c r="Y93" s="128">
        <f>IFERROR(IF(AND(R92="Probabilidad",R93="Probabilidad"),(AA92-(+AA92*U93)),IF(AND(R92="Impacto",R93="Probabilidad"),(AA91-(+AA91*U93)),IF(R93="Impacto",AA92,""))),"")</f>
        <v>0.42</v>
      </c>
      <c r="Z93" s="129" t="s">
        <v>99</v>
      </c>
      <c r="AA93" s="130">
        <v>0.42</v>
      </c>
      <c r="AB93" s="129" t="s">
        <v>77</v>
      </c>
      <c r="AC93" s="130">
        <v>0.44999999999999996</v>
      </c>
      <c r="AD93" s="131" t="s">
        <v>77</v>
      </c>
      <c r="AE93" s="183" t="s">
        <v>257</v>
      </c>
      <c r="AF93" s="184" t="s">
        <v>388</v>
      </c>
      <c r="AG93" s="175" t="s">
        <v>266</v>
      </c>
      <c r="AH93" s="175" t="s">
        <v>267</v>
      </c>
      <c r="AI93" s="175" t="s">
        <v>268</v>
      </c>
      <c r="AJ93" s="175" t="s">
        <v>266</v>
      </c>
      <c r="AK93" s="176">
        <v>44701</v>
      </c>
      <c r="AL93" s="176">
        <v>44926</v>
      </c>
      <c r="AM93" s="351"/>
      <c r="AN93" s="351"/>
    </row>
    <row r="94" spans="1:40">
      <c r="A94" s="342"/>
      <c r="B94" s="345"/>
      <c r="C94" s="345"/>
      <c r="D94" s="345"/>
      <c r="E94" s="345"/>
      <c r="F94" s="348"/>
      <c r="G94" s="345"/>
      <c r="H94" s="351"/>
      <c r="I94" s="354"/>
      <c r="J94" s="357"/>
      <c r="K94" s="360"/>
      <c r="L94" s="357">
        <v>0</v>
      </c>
      <c r="M94" s="354"/>
      <c r="N94" s="357"/>
      <c r="O94" s="363"/>
      <c r="P94" s="124">
        <v>4</v>
      </c>
      <c r="Q94" s="178"/>
      <c r="R94" s="125" t="s">
        <v>361</v>
      </c>
      <c r="S94" s="170"/>
      <c r="T94" s="170"/>
      <c r="U94" s="127" t="s">
        <v>361</v>
      </c>
      <c r="V94" s="170"/>
      <c r="W94" s="170"/>
      <c r="X94" s="170"/>
      <c r="Y94" s="128" t="str">
        <f t="shared" ref="Y94:Y96" si="79">IFERROR(IF(AND(R93="Probabilidad",R94="Probabilidad"),(AA93-(+AA93*U94)),IF(AND(R93="Impacto",R94="Probabilidad"),(AA92-(+AA92*U94)),IF(R94="Impacto",AA93,""))),"")</f>
        <v/>
      </c>
      <c r="Z94" s="129" t="s">
        <v>361</v>
      </c>
      <c r="AA94" s="130" t="s">
        <v>361</v>
      </c>
      <c r="AB94" s="129" t="s">
        <v>361</v>
      </c>
      <c r="AC94" s="130" t="s">
        <v>361</v>
      </c>
      <c r="AD94" s="131" t="s">
        <v>361</v>
      </c>
      <c r="AE94" s="183"/>
      <c r="AF94" s="184"/>
      <c r="AG94" s="175"/>
      <c r="AH94" s="175"/>
      <c r="AI94" s="175"/>
      <c r="AJ94" s="175"/>
      <c r="AK94" s="176"/>
      <c r="AL94" s="176"/>
      <c r="AM94" s="351"/>
      <c r="AN94" s="351"/>
    </row>
    <row r="95" spans="1:40">
      <c r="A95" s="342"/>
      <c r="B95" s="345"/>
      <c r="C95" s="345"/>
      <c r="D95" s="345"/>
      <c r="E95" s="345"/>
      <c r="F95" s="348"/>
      <c r="G95" s="345"/>
      <c r="H95" s="351"/>
      <c r="I95" s="354"/>
      <c r="J95" s="357"/>
      <c r="K95" s="360"/>
      <c r="L95" s="357">
        <v>0</v>
      </c>
      <c r="M95" s="354"/>
      <c r="N95" s="357"/>
      <c r="O95" s="363"/>
      <c r="P95" s="124">
        <v>5</v>
      </c>
      <c r="Q95" s="178"/>
      <c r="R95" s="125" t="s">
        <v>361</v>
      </c>
      <c r="S95" s="170"/>
      <c r="T95" s="170"/>
      <c r="U95" s="127" t="s">
        <v>361</v>
      </c>
      <c r="V95" s="170"/>
      <c r="W95" s="170"/>
      <c r="X95" s="170"/>
      <c r="Y95" s="128" t="str">
        <f t="shared" si="79"/>
        <v/>
      </c>
      <c r="Z95" s="129" t="s">
        <v>361</v>
      </c>
      <c r="AA95" s="130" t="s">
        <v>361</v>
      </c>
      <c r="AB95" s="129" t="s">
        <v>361</v>
      </c>
      <c r="AC95" s="130" t="s">
        <v>361</v>
      </c>
      <c r="AD95" s="131" t="s">
        <v>361</v>
      </c>
      <c r="AE95" s="183"/>
      <c r="AF95" s="184"/>
      <c r="AG95" s="175"/>
      <c r="AH95" s="175"/>
      <c r="AI95" s="175"/>
      <c r="AJ95" s="175"/>
      <c r="AK95" s="176"/>
      <c r="AL95" s="176"/>
      <c r="AM95" s="351"/>
      <c r="AN95" s="351"/>
    </row>
    <row r="96" spans="1:40">
      <c r="A96" s="343"/>
      <c r="B96" s="346"/>
      <c r="C96" s="346"/>
      <c r="D96" s="346"/>
      <c r="E96" s="346"/>
      <c r="F96" s="349"/>
      <c r="G96" s="346"/>
      <c r="H96" s="352"/>
      <c r="I96" s="355"/>
      <c r="J96" s="358"/>
      <c r="K96" s="361"/>
      <c r="L96" s="358">
        <v>0</v>
      </c>
      <c r="M96" s="355"/>
      <c r="N96" s="358"/>
      <c r="O96" s="364"/>
      <c r="P96" s="124">
        <v>6</v>
      </c>
      <c r="Q96" s="178"/>
      <c r="R96" s="125" t="s">
        <v>361</v>
      </c>
      <c r="S96" s="170"/>
      <c r="T96" s="170"/>
      <c r="U96" s="127" t="s">
        <v>361</v>
      </c>
      <c r="V96" s="170"/>
      <c r="W96" s="170"/>
      <c r="X96" s="170"/>
      <c r="Y96" s="128" t="str">
        <f t="shared" si="79"/>
        <v/>
      </c>
      <c r="Z96" s="129" t="s">
        <v>361</v>
      </c>
      <c r="AA96" s="130" t="s">
        <v>361</v>
      </c>
      <c r="AB96" s="129" t="s">
        <v>361</v>
      </c>
      <c r="AC96" s="130" t="s">
        <v>361</v>
      </c>
      <c r="AD96" s="131" t="s">
        <v>361</v>
      </c>
      <c r="AE96" s="183"/>
      <c r="AF96" s="184"/>
      <c r="AG96" s="175"/>
      <c r="AH96" s="175"/>
      <c r="AI96" s="175"/>
      <c r="AJ96" s="175"/>
      <c r="AK96" s="176"/>
      <c r="AL96" s="176"/>
      <c r="AM96" s="352"/>
      <c r="AN96" s="352"/>
    </row>
    <row r="97" spans="1:40" ht="81">
      <c r="A97" s="341">
        <v>15</v>
      </c>
      <c r="B97" s="344" t="s">
        <v>223</v>
      </c>
      <c r="C97" s="344" t="s">
        <v>125</v>
      </c>
      <c r="D97" s="344" t="s">
        <v>389</v>
      </c>
      <c r="E97" s="344" t="s">
        <v>390</v>
      </c>
      <c r="F97" s="347" t="s">
        <v>391</v>
      </c>
      <c r="G97" s="344" t="s">
        <v>120</v>
      </c>
      <c r="H97" s="350">
        <v>60520</v>
      </c>
      <c r="I97" s="353" t="s">
        <v>50</v>
      </c>
      <c r="J97" s="356">
        <v>1</v>
      </c>
      <c r="K97" s="359" t="s">
        <v>142</v>
      </c>
      <c r="L97" s="356" t="s">
        <v>142</v>
      </c>
      <c r="M97" s="353" t="s">
        <v>77</v>
      </c>
      <c r="N97" s="356">
        <v>0.6</v>
      </c>
      <c r="O97" s="362" t="s">
        <v>76</v>
      </c>
      <c r="P97" s="124">
        <v>1</v>
      </c>
      <c r="Q97" s="178" t="s">
        <v>392</v>
      </c>
      <c r="R97" s="125" t="s">
        <v>4</v>
      </c>
      <c r="S97" s="170" t="s">
        <v>14</v>
      </c>
      <c r="T97" s="170" t="s">
        <v>9</v>
      </c>
      <c r="U97" s="127" t="s">
        <v>346</v>
      </c>
      <c r="V97" s="170" t="s">
        <v>19</v>
      </c>
      <c r="W97" s="170" t="s">
        <v>22</v>
      </c>
      <c r="X97" s="170" t="s">
        <v>111</v>
      </c>
      <c r="Y97" s="128">
        <f>IFERROR(IF(R97="Probabilidad",(J97-(+J97*U97)),IF(R97="Impacto",J97,"")),"")</f>
        <v>0.6</v>
      </c>
      <c r="Z97" s="129" t="s">
        <v>99</v>
      </c>
      <c r="AA97" s="130">
        <v>0.6</v>
      </c>
      <c r="AB97" s="129" t="s">
        <v>77</v>
      </c>
      <c r="AC97" s="130">
        <v>0.6</v>
      </c>
      <c r="AD97" s="131" t="s">
        <v>77</v>
      </c>
      <c r="AE97" s="183" t="s">
        <v>257</v>
      </c>
      <c r="AF97" s="184" t="s">
        <v>393</v>
      </c>
      <c r="AG97" s="175" t="s">
        <v>266</v>
      </c>
      <c r="AH97" s="175" t="s">
        <v>267</v>
      </c>
      <c r="AI97" s="175" t="s">
        <v>268</v>
      </c>
      <c r="AJ97" s="175" t="s">
        <v>266</v>
      </c>
      <c r="AK97" s="176">
        <v>44701</v>
      </c>
      <c r="AL97" s="176">
        <v>44926</v>
      </c>
      <c r="AM97" s="344" t="s">
        <v>394</v>
      </c>
      <c r="AN97" s="350"/>
    </row>
    <row r="98" spans="1:40" ht="81">
      <c r="A98" s="342"/>
      <c r="B98" s="345"/>
      <c r="C98" s="345"/>
      <c r="D98" s="345"/>
      <c r="E98" s="345"/>
      <c r="F98" s="348"/>
      <c r="G98" s="345"/>
      <c r="H98" s="351"/>
      <c r="I98" s="354"/>
      <c r="J98" s="357"/>
      <c r="K98" s="360"/>
      <c r="L98" s="357">
        <v>0</v>
      </c>
      <c r="M98" s="354"/>
      <c r="N98" s="357"/>
      <c r="O98" s="363"/>
      <c r="P98" s="124">
        <v>2</v>
      </c>
      <c r="Q98" s="178" t="s">
        <v>395</v>
      </c>
      <c r="R98" s="125" t="s">
        <v>4</v>
      </c>
      <c r="S98" s="170" t="s">
        <v>15</v>
      </c>
      <c r="T98" s="170" t="s">
        <v>9</v>
      </c>
      <c r="U98" s="127" t="s">
        <v>352</v>
      </c>
      <c r="V98" s="170" t="s">
        <v>19</v>
      </c>
      <c r="W98" s="170" t="s">
        <v>23</v>
      </c>
      <c r="X98" s="170" t="s">
        <v>111</v>
      </c>
      <c r="Y98" s="128">
        <f>IFERROR(IF(AND(R97="Probabilidad",R98="Probabilidad"),(AA97-(+AA97*U98)),IF(R98="Probabilidad",(J97-(+J97*U98)),IF(R98="Impacto",AA97,""))),"")</f>
        <v>0.42</v>
      </c>
      <c r="Z98" s="129" t="s">
        <v>99</v>
      </c>
      <c r="AA98" s="130">
        <v>0.42</v>
      </c>
      <c r="AB98" s="129" t="s">
        <v>77</v>
      </c>
      <c r="AC98" s="130">
        <v>0.6</v>
      </c>
      <c r="AD98" s="131" t="s">
        <v>77</v>
      </c>
      <c r="AE98" s="183" t="s">
        <v>257</v>
      </c>
      <c r="AF98" s="184" t="s">
        <v>396</v>
      </c>
      <c r="AG98" s="175" t="s">
        <v>266</v>
      </c>
      <c r="AH98" s="175" t="s">
        <v>267</v>
      </c>
      <c r="AI98" s="175" t="s">
        <v>268</v>
      </c>
      <c r="AJ98" s="175" t="s">
        <v>266</v>
      </c>
      <c r="AK98" s="176">
        <v>44701</v>
      </c>
      <c r="AL98" s="176">
        <v>44926</v>
      </c>
      <c r="AM98" s="351"/>
      <c r="AN98" s="351"/>
    </row>
    <row r="99" spans="1:40">
      <c r="A99" s="342"/>
      <c r="B99" s="345"/>
      <c r="C99" s="345"/>
      <c r="D99" s="345"/>
      <c r="E99" s="345"/>
      <c r="F99" s="348"/>
      <c r="G99" s="345"/>
      <c r="H99" s="351"/>
      <c r="I99" s="354"/>
      <c r="J99" s="357"/>
      <c r="K99" s="360"/>
      <c r="L99" s="357">
        <v>0</v>
      </c>
      <c r="M99" s="354"/>
      <c r="N99" s="357"/>
      <c r="O99" s="363"/>
      <c r="P99" s="124">
        <v>3</v>
      </c>
      <c r="Q99" s="178"/>
      <c r="R99" s="125" t="s">
        <v>361</v>
      </c>
      <c r="S99" s="170"/>
      <c r="T99" s="170"/>
      <c r="U99" s="127" t="s">
        <v>361</v>
      </c>
      <c r="V99" s="170"/>
      <c r="W99" s="170"/>
      <c r="X99" s="170"/>
      <c r="Y99" s="128" t="str">
        <f>IFERROR(IF(AND(R98="Probabilidad",R99="Probabilidad"),(AA98-(+AA98*U99)),IF(AND(R98="Impacto",R99="Probabilidad"),(AA97-(+AA97*U99)),IF(R99="Impacto",AA98,""))),"")</f>
        <v/>
      </c>
      <c r="Z99" s="129" t="s">
        <v>361</v>
      </c>
      <c r="AA99" s="130" t="s">
        <v>361</v>
      </c>
      <c r="AB99" s="129" t="s">
        <v>361</v>
      </c>
      <c r="AC99" s="130" t="s">
        <v>361</v>
      </c>
      <c r="AD99" s="131" t="s">
        <v>361</v>
      </c>
      <c r="AE99" s="183"/>
      <c r="AF99" s="184"/>
      <c r="AG99" s="175"/>
      <c r="AH99" s="175"/>
      <c r="AI99" s="175"/>
      <c r="AJ99" s="175"/>
      <c r="AK99" s="176"/>
      <c r="AL99" s="176"/>
      <c r="AM99" s="351"/>
      <c r="AN99" s="351"/>
    </row>
    <row r="100" spans="1:40">
      <c r="A100" s="342"/>
      <c r="B100" s="345"/>
      <c r="C100" s="345"/>
      <c r="D100" s="345"/>
      <c r="E100" s="345"/>
      <c r="F100" s="348"/>
      <c r="G100" s="345"/>
      <c r="H100" s="351"/>
      <c r="I100" s="354"/>
      <c r="J100" s="357"/>
      <c r="K100" s="360"/>
      <c r="L100" s="357">
        <v>0</v>
      </c>
      <c r="M100" s="354"/>
      <c r="N100" s="357"/>
      <c r="O100" s="363"/>
      <c r="P100" s="124">
        <v>4</v>
      </c>
      <c r="Q100" s="178"/>
      <c r="R100" s="125" t="s">
        <v>361</v>
      </c>
      <c r="S100" s="170"/>
      <c r="T100" s="170"/>
      <c r="U100" s="127" t="s">
        <v>361</v>
      </c>
      <c r="V100" s="170"/>
      <c r="W100" s="170"/>
      <c r="X100" s="170"/>
      <c r="Y100" s="128" t="str">
        <f t="shared" ref="Y100:Y102" si="80">IFERROR(IF(AND(R99="Probabilidad",R100="Probabilidad"),(AA99-(+AA99*U100)),IF(AND(R99="Impacto",R100="Probabilidad"),(AA98-(+AA98*U100)),IF(R100="Impacto",AA99,""))),"")</f>
        <v/>
      </c>
      <c r="Z100" s="129" t="s">
        <v>361</v>
      </c>
      <c r="AA100" s="130" t="s">
        <v>361</v>
      </c>
      <c r="AB100" s="129" t="s">
        <v>361</v>
      </c>
      <c r="AC100" s="130" t="s">
        <v>361</v>
      </c>
      <c r="AD100" s="131" t="s">
        <v>361</v>
      </c>
      <c r="AE100" s="183"/>
      <c r="AF100" s="184"/>
      <c r="AG100" s="175"/>
      <c r="AH100" s="175"/>
      <c r="AI100" s="175"/>
      <c r="AJ100" s="175"/>
      <c r="AK100" s="176"/>
      <c r="AL100" s="176"/>
      <c r="AM100" s="351"/>
      <c r="AN100" s="351"/>
    </row>
    <row r="101" spans="1:40">
      <c r="A101" s="342"/>
      <c r="B101" s="345"/>
      <c r="C101" s="345"/>
      <c r="D101" s="345"/>
      <c r="E101" s="345"/>
      <c r="F101" s="348"/>
      <c r="G101" s="345"/>
      <c r="H101" s="351"/>
      <c r="I101" s="354"/>
      <c r="J101" s="357"/>
      <c r="K101" s="360"/>
      <c r="L101" s="357">
        <v>0</v>
      </c>
      <c r="M101" s="354"/>
      <c r="N101" s="357"/>
      <c r="O101" s="363"/>
      <c r="P101" s="124">
        <v>5</v>
      </c>
      <c r="Q101" s="178"/>
      <c r="R101" s="125" t="s">
        <v>361</v>
      </c>
      <c r="S101" s="170"/>
      <c r="T101" s="170"/>
      <c r="U101" s="127" t="s">
        <v>361</v>
      </c>
      <c r="V101" s="170"/>
      <c r="W101" s="170"/>
      <c r="X101" s="170"/>
      <c r="Y101" s="128" t="str">
        <f t="shared" si="80"/>
        <v/>
      </c>
      <c r="Z101" s="129" t="s">
        <v>361</v>
      </c>
      <c r="AA101" s="130" t="s">
        <v>361</v>
      </c>
      <c r="AB101" s="129" t="s">
        <v>361</v>
      </c>
      <c r="AC101" s="130" t="s">
        <v>361</v>
      </c>
      <c r="AD101" s="131" t="s">
        <v>361</v>
      </c>
      <c r="AE101" s="183"/>
      <c r="AF101" s="184"/>
      <c r="AG101" s="175"/>
      <c r="AH101" s="175"/>
      <c r="AI101" s="175"/>
      <c r="AJ101" s="175"/>
      <c r="AK101" s="176"/>
      <c r="AL101" s="176"/>
      <c r="AM101" s="351"/>
      <c r="AN101" s="351"/>
    </row>
    <row r="102" spans="1:40">
      <c r="A102" s="343"/>
      <c r="B102" s="346"/>
      <c r="C102" s="346"/>
      <c r="D102" s="346"/>
      <c r="E102" s="346"/>
      <c r="F102" s="349"/>
      <c r="G102" s="346"/>
      <c r="H102" s="352"/>
      <c r="I102" s="355"/>
      <c r="J102" s="358"/>
      <c r="K102" s="361"/>
      <c r="L102" s="358">
        <v>0</v>
      </c>
      <c r="M102" s="355"/>
      <c r="N102" s="358"/>
      <c r="O102" s="364"/>
      <c r="P102" s="124">
        <v>6</v>
      </c>
      <c r="Q102" s="178"/>
      <c r="R102" s="125" t="s">
        <v>361</v>
      </c>
      <c r="S102" s="170"/>
      <c r="T102" s="170"/>
      <c r="U102" s="127" t="s">
        <v>361</v>
      </c>
      <c r="V102" s="170"/>
      <c r="W102" s="170"/>
      <c r="X102" s="170"/>
      <c r="Y102" s="128" t="str">
        <f t="shared" si="80"/>
        <v/>
      </c>
      <c r="Z102" s="129" t="s">
        <v>361</v>
      </c>
      <c r="AA102" s="130" t="s">
        <v>361</v>
      </c>
      <c r="AB102" s="129" t="s">
        <v>361</v>
      </c>
      <c r="AC102" s="130" t="s">
        <v>361</v>
      </c>
      <c r="AD102" s="131" t="s">
        <v>361</v>
      </c>
      <c r="AE102" s="183"/>
      <c r="AF102" s="184"/>
      <c r="AG102" s="175"/>
      <c r="AH102" s="175"/>
      <c r="AI102" s="175"/>
      <c r="AJ102" s="175"/>
      <c r="AK102" s="176"/>
      <c r="AL102" s="176"/>
      <c r="AM102" s="352"/>
      <c r="AN102" s="352"/>
    </row>
    <row r="103" spans="1:40" ht="162">
      <c r="A103" s="341">
        <v>16</v>
      </c>
      <c r="B103" s="344" t="s">
        <v>206</v>
      </c>
      <c r="C103" s="344" t="s">
        <v>125</v>
      </c>
      <c r="D103" s="344" t="s">
        <v>397</v>
      </c>
      <c r="E103" s="344" t="s">
        <v>398</v>
      </c>
      <c r="F103" s="347" t="s">
        <v>399</v>
      </c>
      <c r="G103" s="344" t="s">
        <v>115</v>
      </c>
      <c r="H103" s="350">
        <v>14</v>
      </c>
      <c r="I103" s="353" t="str">
        <f>IF(H103&lt;=0,"",IF(H103&lt;=2,"Muy Baja",IF(H103&lt;=5,"Baja",IF(H103&lt;=19,"Media",IF(H103&lt;=50,"Alta","Muy Alta")))))</f>
        <v>Media</v>
      </c>
      <c r="J103" s="356">
        <f>IF(I103="","",IF(I103="Muy Baja",0.2,IF(I103="Baja",0.4,IF(I103="Media",0.6,IF(I103="Alta",0.8,IF(I103="Muy Alta",1,))))))</f>
        <v>0.6</v>
      </c>
      <c r="K103" s="359" t="s">
        <v>139</v>
      </c>
      <c r="L103" s="356" t="str">
        <f>IF(NOT(ISERROR(MATCH(K103,'[5]Tabla Impacto'!$B$221:$B$223,0))),'[5]Tabla Impacto'!$F$223&amp;"Por favor no seleccionar los criterios de impacto(Afectación Económica o presupuestal y Pérdida Reputacional)",K103)</f>
        <v xml:space="preserve">     Mayor a 500 SMLMV </v>
      </c>
      <c r="M103" s="353" t="str">
        <f>IF(OR(L103='[5]Tabla Impacto'!$C$11,L103='[5]Tabla Impacto'!$D$11),"Leve",IF(OR(L103='[5]Tabla Impacto'!$C$12,L103='[5]Tabla Impacto'!$D$12),"Menor",IF(OR(L103='[5]Tabla Impacto'!$C$13,L103='[5]Tabla Impacto'!$D$13),"Moderado",IF(OR(L103='[5]Tabla Impacto'!$C$14,L103='[5]Tabla Impacto'!$D$14),"Mayor",IF(OR(L103='[5]Tabla Impacto'!$C$15,L103='[5]Tabla Impacto'!$D$15),"Catastrófico","")))))</f>
        <v>Catastrófico</v>
      </c>
      <c r="N103" s="356">
        <f>IF(M103="","",IF(M103="Leve",0.2,IF(M103="Menor",0.4,IF(M103="Moderado",0.6,IF(M103="Mayor",0.8,IF(M103="Catastrófico",1,))))))</f>
        <v>1</v>
      </c>
      <c r="O103" s="362" t="str">
        <f>IF(OR(AND(I103="Muy Baja",M103="Leve"),AND(I103="Muy Baja",M103="Menor"),AND(I103="Baja",M103="Leve")),"Bajo",IF(OR(AND(I103="Muy baja",M103="Moderado"),AND(I103="Baja",M103="Menor"),AND(I103="Baja",M103="Moderado"),AND(I103="Media",M103="Leve"),AND(I103="Media",M103="Menor"),AND(I103="Media",M103="Moderado"),AND(I103="Alta",M103="Leve"),AND(I103="Alta",M103="Menor")),"Moderado",IF(OR(AND(I103="Muy Baja",M103="Mayor"),AND(I103="Baja",M103="Mayor"),AND(I103="Media",M103="Mayor"),AND(I103="Alta",M103="Moderado"),AND(I103="Alta",M103="Mayor"),AND(I103="Muy Alta",M103="Leve"),AND(I103="Muy Alta",M103="Menor"),AND(I103="Muy Alta",M103="Moderado"),AND(I103="Muy Alta",M103="Mayor")),"Alto",IF(OR(AND(I103="Muy Baja",M103="Catastrófico"),AND(I103="Baja",M103="Catastrófico"),AND(I103="Media",M103="Catastrófico"),AND(I103="Alta",M103="Catastrófico"),AND(I103="Muy Alta",M103="Catastrófico")),"Extremo",""))))</f>
        <v>Extremo</v>
      </c>
      <c r="P103" s="124">
        <v>1</v>
      </c>
      <c r="Q103" s="178" t="s">
        <v>400</v>
      </c>
      <c r="R103" s="125" t="str">
        <f>IF(OR(S103="Preventivo",S103="Detectivo"),"Probabilidad",IF(S103="Correctivo","Impacto",""))</f>
        <v>Probabilidad</v>
      </c>
      <c r="S103" s="171" t="s">
        <v>14</v>
      </c>
      <c r="T103" s="171" t="s">
        <v>9</v>
      </c>
      <c r="U103" s="127" t="str">
        <f>IF(AND(S103="Preventivo",T103="Automático"),"50%",IF(AND(S103="Preventivo",T103="Manual"),"40%",IF(AND(S103="Detectivo",T103="Automático"),"40%",IF(AND(S103="Detectivo",T103="Manual"),"30%",IF(AND(S103="Correctivo",T103="Automático"),"35%",IF(AND(S103="Correctivo",T103="Manual"),"25%",""))))))</f>
        <v>40%</v>
      </c>
      <c r="V103" s="171" t="s">
        <v>19</v>
      </c>
      <c r="W103" s="171" t="s">
        <v>23</v>
      </c>
      <c r="X103" s="171" t="s">
        <v>111</v>
      </c>
      <c r="Y103" s="128">
        <f>IFERROR(IF(R103="Probabilidad",(J103-(+J103*U103)),IF(R103="Impacto",J103,"")),"")</f>
        <v>0.36</v>
      </c>
      <c r="Z103" s="129" t="str">
        <f>IFERROR(IF(Y103="","",IF(Y103&lt;=0.2,"Muy Baja",IF(Y103&lt;=0.4,"Baja",IF(Y103&lt;=0.6,"Media",IF(Y103&lt;=0.8,"Alta","Muy Alta"))))),"")</f>
        <v>Baja</v>
      </c>
      <c r="AA103" s="130">
        <f>+Y103</f>
        <v>0.36</v>
      </c>
      <c r="AB103" s="129" t="str">
        <f>IFERROR(IF(AC103="","",IF(AC103&lt;=0.2,"Leve",IF(AC103&lt;=0.4,"Menor",IF(AC103&lt;=0.6,"Moderado",IF(AC103&lt;=0.8,"Mayor","Catastrófico"))))),"")</f>
        <v>Catastrófico</v>
      </c>
      <c r="AC103" s="130">
        <f>IFERROR(IF(R103="Impacto",(N103-(+N103*U103)),IF(R103="Probabilidad",N103,"")),"")</f>
        <v>1</v>
      </c>
      <c r="AD103" s="131" t="str">
        <f>IFERROR(IF(OR(AND(Z103="Muy Baja",AB103="Leve"),AND(Z103="Muy Baja",AB103="Menor"),AND(Z103="Baja",AB103="Leve")),"Bajo",IF(OR(AND(Z103="Muy baja",AB103="Moderado"),AND(Z103="Baja",AB103="Menor"),AND(Z103="Baja",AB103="Moderado"),AND(Z103="Media",AB103="Leve"),AND(Z103="Media",AB103="Menor"),AND(Z103="Media",AB103="Moderado"),AND(Z103="Alta",AB103="Leve"),AND(Z103="Alta",AB103="Menor")),"Moderado",IF(OR(AND(Z103="Muy Baja",AB103="Mayor"),AND(Z103="Baja",AB103="Mayor"),AND(Z103="Media",AB103="Mayor"),AND(Z103="Alta",AB103="Moderado"),AND(Z103="Alta",AB103="Mayor"),AND(Z103="Muy Alta",AB103="Leve"),AND(Z103="Muy Alta",AB103="Menor"),AND(Z103="Muy Alta",AB103="Moderado"),AND(Z103="Muy Alta",AB103="Mayor")),"Alto",IF(OR(AND(Z103="Muy Baja",AB103="Catastrófico"),AND(Z103="Baja",AB103="Catastrófico"),AND(Z103="Media",AB103="Catastrófico"),AND(Z103="Alta",AB103="Catastrófico"),AND(Z103="Muy Alta",AB103="Catastrófico")),"Extremo","")))),"")</f>
        <v>Extremo</v>
      </c>
      <c r="AE103" s="183" t="s">
        <v>376</v>
      </c>
      <c r="AF103" s="184" t="s">
        <v>401</v>
      </c>
      <c r="AG103" s="171" t="s">
        <v>402</v>
      </c>
      <c r="AH103" s="171" t="s">
        <v>377</v>
      </c>
      <c r="AI103" s="171" t="s">
        <v>403</v>
      </c>
      <c r="AJ103" s="171" t="s">
        <v>404</v>
      </c>
      <c r="AK103" s="172">
        <v>44329</v>
      </c>
      <c r="AL103" s="172">
        <v>44561</v>
      </c>
      <c r="AM103" s="350">
        <v>3760</v>
      </c>
      <c r="AN103" s="350"/>
    </row>
    <row r="104" spans="1:40" ht="148.5">
      <c r="A104" s="342"/>
      <c r="B104" s="345"/>
      <c r="C104" s="345"/>
      <c r="D104" s="345"/>
      <c r="E104" s="345"/>
      <c r="F104" s="348"/>
      <c r="G104" s="345"/>
      <c r="H104" s="351"/>
      <c r="I104" s="354"/>
      <c r="J104" s="357"/>
      <c r="K104" s="360"/>
      <c r="L104" s="357">
        <f ca="1">IF(NOT(ISERROR(MATCH(K104,_xlfn.ANCHORARRAY(F115),0))),J117&amp;"Por favor no seleccionar los criterios de impacto",K104)</f>
        <v>0</v>
      </c>
      <c r="M104" s="354"/>
      <c r="N104" s="357"/>
      <c r="O104" s="363"/>
      <c r="P104" s="124">
        <v>2</v>
      </c>
      <c r="Q104" s="178" t="s">
        <v>405</v>
      </c>
      <c r="R104" s="125" t="str">
        <f>IF(OR(S104="Preventivo",S104="Detectivo"),"Probabilidad",IF(S104="Correctivo","Impacto",""))</f>
        <v>Probabilidad</v>
      </c>
      <c r="S104" s="170" t="s">
        <v>14</v>
      </c>
      <c r="T104" s="170" t="s">
        <v>9</v>
      </c>
      <c r="U104" s="127" t="str">
        <f t="shared" ref="U104:U114" si="81">IF(AND(S104="Preventivo",T104="Automático"),"50%",IF(AND(S104="Preventivo",T104="Manual"),"40%",IF(AND(S104="Detectivo",T104="Automático"),"40%",IF(AND(S104="Detectivo",T104="Manual"),"30%",IF(AND(S104="Correctivo",T104="Automático"),"35%",IF(AND(S104="Correctivo",T104="Manual"),"25%",""))))))</f>
        <v>40%</v>
      </c>
      <c r="V104" s="170" t="s">
        <v>19</v>
      </c>
      <c r="W104" s="170" t="s">
        <v>23</v>
      </c>
      <c r="X104" s="170" t="s">
        <v>111</v>
      </c>
      <c r="Y104" s="128">
        <f>IFERROR(IF(AND(R103="Probabilidad",R104="Probabilidad"),(AA103-(+AA103*U104)),IF(R104="Probabilidad",(J103-(+J103*U104)),IF(R104="Impacto",AA103,""))),"")</f>
        <v>0.216</v>
      </c>
      <c r="Z104" s="129" t="str">
        <f t="shared" ref="Z104:Z114" si="82">IFERROR(IF(Y104="","",IF(Y104&lt;=0.2,"Muy Baja",IF(Y104&lt;=0.4,"Baja",IF(Y104&lt;=0.6,"Media",IF(Y104&lt;=0.8,"Alta","Muy Alta"))))),"")</f>
        <v>Baja</v>
      </c>
      <c r="AA104" s="130">
        <f t="shared" ref="AA104:AA114" si="83">+Y104</f>
        <v>0.216</v>
      </c>
      <c r="AB104" s="129" t="str">
        <f t="shared" ref="AB104:AB114" si="84">IFERROR(IF(AC104="","",IF(AC104&lt;=0.2,"Leve",IF(AC104&lt;=0.4,"Menor",IF(AC104&lt;=0.6,"Moderado",IF(AC104&lt;=0.8,"Mayor","Catastrófico"))))),"")</f>
        <v>Catastrófico</v>
      </c>
      <c r="AC104" s="130">
        <f>IFERROR(IF(AND(R103="Impacto",R104="Impacto"),(AC103-(+AC103*U104)),IF(R104="Impacto",($N$12-(+$N$12*U104)),IF(R104="Probabilidad",AC103,""))),"")</f>
        <v>1</v>
      </c>
      <c r="AD104" s="131" t="str">
        <f t="shared" ref="AD104:AD114" si="85">IFERROR(IF(OR(AND(Z104="Muy Baja",AB104="Leve"),AND(Z104="Muy Baja",AB104="Menor"),AND(Z104="Baja",AB104="Leve")),"Bajo",IF(OR(AND(Z104="Muy baja",AB104="Moderado"),AND(Z104="Baja",AB104="Menor"),AND(Z104="Baja",AB104="Moderado"),AND(Z104="Media",AB104="Leve"),AND(Z104="Media",AB104="Menor"),AND(Z104="Media",AB104="Moderado"),AND(Z104="Alta",AB104="Leve"),AND(Z104="Alta",AB104="Menor")),"Moderado",IF(OR(AND(Z104="Muy Baja",AB104="Mayor"),AND(Z104="Baja",AB104="Mayor"),AND(Z104="Media",AB104="Mayor"),AND(Z104="Alta",AB104="Moderado"),AND(Z104="Alta",AB104="Mayor"),AND(Z104="Muy Alta",AB104="Leve"),AND(Z104="Muy Alta",AB104="Menor"),AND(Z104="Muy Alta",AB104="Moderado"),AND(Z104="Muy Alta",AB104="Mayor")),"Alto",IF(OR(AND(Z104="Muy Baja",AB104="Catastrófico"),AND(Z104="Baja",AB104="Catastrófico"),AND(Z104="Media",AB104="Catastrófico"),AND(Z104="Alta",AB104="Catastrófico"),AND(Z104="Muy Alta",AB104="Catastrófico")),"Extremo","")))),"")</f>
        <v>Extremo</v>
      </c>
      <c r="AE104" s="189" t="s">
        <v>376</v>
      </c>
      <c r="AF104" s="184" t="s">
        <v>406</v>
      </c>
      <c r="AG104" s="171" t="s">
        <v>402</v>
      </c>
      <c r="AH104" s="171" t="s">
        <v>377</v>
      </c>
      <c r="AI104" s="171" t="s">
        <v>403</v>
      </c>
      <c r="AJ104" s="171" t="s">
        <v>404</v>
      </c>
      <c r="AK104" s="172">
        <v>44329</v>
      </c>
      <c r="AL104" s="172">
        <v>44561</v>
      </c>
      <c r="AM104" s="351"/>
      <c r="AN104" s="351"/>
    </row>
    <row r="105" spans="1:40" ht="175.5">
      <c r="A105" s="342"/>
      <c r="B105" s="345"/>
      <c r="C105" s="345"/>
      <c r="D105" s="345"/>
      <c r="E105" s="345"/>
      <c r="F105" s="348"/>
      <c r="G105" s="345"/>
      <c r="H105" s="351"/>
      <c r="I105" s="354"/>
      <c r="J105" s="357"/>
      <c r="K105" s="360"/>
      <c r="L105" s="357">
        <f ca="1">IF(NOT(ISERROR(MATCH(K105,_xlfn.ANCHORARRAY(F116),0))),J118&amp;"Por favor no seleccionar los criterios de impacto",K105)</f>
        <v>0</v>
      </c>
      <c r="M105" s="354"/>
      <c r="N105" s="357"/>
      <c r="O105" s="363"/>
      <c r="P105" s="124">
        <v>3</v>
      </c>
      <c r="Q105" s="178" t="s">
        <v>407</v>
      </c>
      <c r="R105" s="125" t="str">
        <f>IF(OR(S105="Preventivo",S105="Detectivo"),"Probabilidad",IF(S105="Correctivo","Impacto",""))</f>
        <v>Probabilidad</v>
      </c>
      <c r="S105" s="170" t="s">
        <v>14</v>
      </c>
      <c r="T105" s="170" t="s">
        <v>9</v>
      </c>
      <c r="U105" s="127" t="str">
        <f t="shared" si="81"/>
        <v>40%</v>
      </c>
      <c r="V105" s="170" t="s">
        <v>19</v>
      </c>
      <c r="W105" s="170" t="s">
        <v>23</v>
      </c>
      <c r="X105" s="170" t="s">
        <v>111</v>
      </c>
      <c r="Y105" s="128">
        <f>IFERROR(IF(AND(R104="Probabilidad",R105="Probabilidad"),(AA104-(+AA104*U105)),IF(AND(R104="Impacto",R105="Probabilidad"),(AA103-(+AA103*U105)),IF(R105="Impacto",AA104,""))),"")</f>
        <v>0.12959999999999999</v>
      </c>
      <c r="Z105" s="129" t="str">
        <f t="shared" si="82"/>
        <v>Muy Baja</v>
      </c>
      <c r="AA105" s="130">
        <f t="shared" si="83"/>
        <v>0.12959999999999999</v>
      </c>
      <c r="AB105" s="129" t="str">
        <f t="shared" si="84"/>
        <v>Catastrófico</v>
      </c>
      <c r="AC105" s="130">
        <f>IFERROR(IF(AND(R104="Impacto",R105="Impacto"),(AC104-(+AC104*U105)),IF(AND(R104="Probabilidad",R105="Impacto"),(AC103-(+AC103*U105)),IF(R105="Probabilidad",AC104,""))),"")</f>
        <v>1</v>
      </c>
      <c r="AD105" s="131" t="str">
        <f t="shared" si="85"/>
        <v>Extremo</v>
      </c>
      <c r="AE105" s="189" t="s">
        <v>376</v>
      </c>
      <c r="AF105" s="184" t="s">
        <v>408</v>
      </c>
      <c r="AG105" s="171" t="s">
        <v>402</v>
      </c>
      <c r="AH105" s="171" t="s">
        <v>377</v>
      </c>
      <c r="AI105" s="171" t="s">
        <v>403</v>
      </c>
      <c r="AJ105" s="171" t="s">
        <v>404</v>
      </c>
      <c r="AK105" s="172">
        <v>44329</v>
      </c>
      <c r="AL105" s="172">
        <v>44561</v>
      </c>
      <c r="AM105" s="351"/>
      <c r="AN105" s="351"/>
    </row>
    <row r="106" spans="1:40">
      <c r="A106" s="342"/>
      <c r="B106" s="345"/>
      <c r="C106" s="345"/>
      <c r="D106" s="345"/>
      <c r="E106" s="345"/>
      <c r="F106" s="348"/>
      <c r="G106" s="345"/>
      <c r="H106" s="351"/>
      <c r="I106" s="354"/>
      <c r="J106" s="357"/>
      <c r="K106" s="360"/>
      <c r="L106" s="357">
        <f ca="1">IF(NOT(ISERROR(MATCH(K106,_xlfn.ANCHORARRAY(F117),0))),J119&amp;"Por favor no seleccionar los criterios de impacto",K106)</f>
        <v>0</v>
      </c>
      <c r="M106" s="354"/>
      <c r="N106" s="357"/>
      <c r="O106" s="363"/>
      <c r="P106" s="124">
        <v>4</v>
      </c>
      <c r="Q106" s="178"/>
      <c r="R106" s="125" t="str">
        <f t="shared" ref="R106:R114" si="86">IF(OR(S106="Preventivo",S106="Detectivo"),"Probabilidad",IF(S106="Correctivo","Impacto",""))</f>
        <v/>
      </c>
      <c r="S106" s="170"/>
      <c r="T106" s="170"/>
      <c r="U106" s="127" t="str">
        <f t="shared" si="81"/>
        <v/>
      </c>
      <c r="V106" s="170"/>
      <c r="W106" s="170"/>
      <c r="X106" s="170"/>
      <c r="Y106" s="128" t="str">
        <f t="shared" ref="Y106:Y108" si="87">IFERROR(IF(AND(R105="Probabilidad",R106="Probabilidad"),(AA105-(+AA105*U106)),IF(AND(R105="Impacto",R106="Probabilidad"),(AA104-(+AA104*U106)),IF(R106="Impacto",AA105,""))),"")</f>
        <v/>
      </c>
      <c r="Z106" s="129" t="str">
        <f t="shared" si="82"/>
        <v/>
      </c>
      <c r="AA106" s="130" t="str">
        <f t="shared" si="83"/>
        <v/>
      </c>
      <c r="AB106" s="129" t="str">
        <f t="shared" si="84"/>
        <v/>
      </c>
      <c r="AC106" s="130" t="str">
        <f t="shared" ref="AC106:AC108" si="88">IFERROR(IF(AND(R105="Impacto",R106="Impacto"),(AC105-(+AC105*U106)),IF(AND(R105="Probabilidad",R106="Impacto"),(AC104-(+AC104*U106)),IF(R106="Probabilidad",AC105,""))),"")</f>
        <v/>
      </c>
      <c r="AD106" s="131" t="str">
        <f>IFERROR(IF(OR(AND(Z106="Muy Baja",AB106="Leve"),AND(Z106="Muy Baja",AB106="Menor"),AND(Z106="Baja",AB106="Leve")),"Bajo",IF(OR(AND(Z106="Muy baja",AB106="Moderado"),AND(Z106="Baja",AB106="Menor"),AND(Z106="Baja",AB106="Moderado"),AND(Z106="Media",AB106="Leve"),AND(Z106="Media",AB106="Menor"),AND(Z106="Media",AB106="Moderado"),AND(Z106="Alta",AB106="Leve"),AND(Z106="Alta",AB106="Menor")),"Moderado",IF(OR(AND(Z106="Muy Baja",AB106="Mayor"),AND(Z106="Baja",AB106="Mayor"),AND(Z106="Media",AB106="Mayor"),AND(Z106="Alta",AB106="Moderado"),AND(Z106="Alta",AB106="Mayor"),AND(Z106="Muy Alta",AB106="Leve"),AND(Z106="Muy Alta",AB106="Menor"),AND(Z106="Muy Alta",AB106="Moderado"),AND(Z106="Muy Alta",AB106="Mayor")),"Alto",IF(OR(AND(Z106="Muy Baja",AB106="Catastrófico"),AND(Z106="Baja",AB106="Catastrófico"),AND(Z106="Media",AB106="Catastrófico"),AND(Z106="Alta",AB106="Catastrófico"),AND(Z106="Muy Alta",AB106="Catastrófico")),"Extremo","")))),"")</f>
        <v/>
      </c>
      <c r="AE106" s="189"/>
      <c r="AF106" s="184"/>
      <c r="AG106" s="171"/>
      <c r="AH106" s="171"/>
      <c r="AI106" s="171"/>
      <c r="AJ106" s="171"/>
      <c r="AK106" s="172"/>
      <c r="AL106" s="172"/>
      <c r="AM106" s="351"/>
      <c r="AN106" s="351"/>
    </row>
    <row r="107" spans="1:40">
      <c r="A107" s="342"/>
      <c r="B107" s="345"/>
      <c r="C107" s="345"/>
      <c r="D107" s="345"/>
      <c r="E107" s="345"/>
      <c r="F107" s="348"/>
      <c r="G107" s="345"/>
      <c r="H107" s="351"/>
      <c r="I107" s="354"/>
      <c r="J107" s="357"/>
      <c r="K107" s="360"/>
      <c r="L107" s="357">
        <f ca="1">IF(NOT(ISERROR(MATCH(K107,_xlfn.ANCHORARRAY(F118),0))),J120&amp;"Por favor no seleccionar los criterios de impacto",K107)</f>
        <v>0</v>
      </c>
      <c r="M107" s="354"/>
      <c r="N107" s="357"/>
      <c r="O107" s="363"/>
      <c r="P107" s="124">
        <v>5</v>
      </c>
      <c r="Q107" s="178"/>
      <c r="R107" s="125" t="str">
        <f t="shared" si="86"/>
        <v/>
      </c>
      <c r="S107" s="170"/>
      <c r="T107" s="170"/>
      <c r="U107" s="127" t="str">
        <f t="shared" si="81"/>
        <v/>
      </c>
      <c r="V107" s="170"/>
      <c r="W107" s="170"/>
      <c r="X107" s="170"/>
      <c r="Y107" s="128" t="str">
        <f t="shared" si="87"/>
        <v/>
      </c>
      <c r="Z107" s="129" t="str">
        <f t="shared" si="82"/>
        <v/>
      </c>
      <c r="AA107" s="130" t="str">
        <f t="shared" si="83"/>
        <v/>
      </c>
      <c r="AB107" s="129" t="str">
        <f t="shared" si="84"/>
        <v/>
      </c>
      <c r="AC107" s="130" t="str">
        <f t="shared" si="88"/>
        <v/>
      </c>
      <c r="AD107" s="131" t="str">
        <f t="shared" si="85"/>
        <v/>
      </c>
      <c r="AE107" s="189"/>
      <c r="AF107" s="184"/>
      <c r="AG107" s="171"/>
      <c r="AH107" s="171"/>
      <c r="AI107" s="171"/>
      <c r="AJ107" s="171"/>
      <c r="AK107" s="172"/>
      <c r="AL107" s="172"/>
      <c r="AM107" s="351"/>
      <c r="AN107" s="351"/>
    </row>
    <row r="108" spans="1:40">
      <c r="A108" s="343"/>
      <c r="B108" s="346"/>
      <c r="C108" s="346"/>
      <c r="D108" s="346"/>
      <c r="E108" s="346"/>
      <c r="F108" s="349"/>
      <c r="G108" s="346"/>
      <c r="H108" s="352"/>
      <c r="I108" s="355"/>
      <c r="J108" s="358"/>
      <c r="K108" s="361"/>
      <c r="L108" s="358">
        <f ca="1">IF(NOT(ISERROR(MATCH(K108,_xlfn.ANCHORARRAY(F119),0))),J121&amp;"Por favor no seleccionar los criterios de impacto",K108)</f>
        <v>0</v>
      </c>
      <c r="M108" s="355"/>
      <c r="N108" s="358"/>
      <c r="O108" s="364"/>
      <c r="P108" s="124">
        <v>6</v>
      </c>
      <c r="Q108" s="178"/>
      <c r="R108" s="125" t="str">
        <f t="shared" si="86"/>
        <v/>
      </c>
      <c r="S108" s="170"/>
      <c r="T108" s="170"/>
      <c r="U108" s="127" t="str">
        <f t="shared" si="81"/>
        <v/>
      </c>
      <c r="V108" s="170"/>
      <c r="W108" s="170"/>
      <c r="X108" s="170"/>
      <c r="Y108" s="128" t="str">
        <f t="shared" si="87"/>
        <v/>
      </c>
      <c r="Z108" s="129" t="str">
        <f t="shared" si="82"/>
        <v/>
      </c>
      <c r="AA108" s="130" t="str">
        <f t="shared" si="83"/>
        <v/>
      </c>
      <c r="AB108" s="129" t="str">
        <f t="shared" si="84"/>
        <v/>
      </c>
      <c r="AC108" s="130" t="str">
        <f t="shared" si="88"/>
        <v/>
      </c>
      <c r="AD108" s="131" t="str">
        <f t="shared" si="85"/>
        <v/>
      </c>
      <c r="AE108" s="189"/>
      <c r="AF108" s="184"/>
      <c r="AG108" s="171"/>
      <c r="AH108" s="171"/>
      <c r="AI108" s="171"/>
      <c r="AJ108" s="171"/>
      <c r="AK108" s="172"/>
      <c r="AL108" s="172"/>
      <c r="AM108" s="352"/>
      <c r="AN108" s="352"/>
    </row>
    <row r="109" spans="1:40" ht="67.5">
      <c r="A109" s="341">
        <v>17</v>
      </c>
      <c r="B109" s="376" t="s">
        <v>207</v>
      </c>
      <c r="C109" s="376" t="s">
        <v>123</v>
      </c>
      <c r="D109" s="379" t="s">
        <v>409</v>
      </c>
      <c r="E109" s="379" t="s">
        <v>410</v>
      </c>
      <c r="F109" s="379" t="s">
        <v>411</v>
      </c>
      <c r="G109" s="376" t="s">
        <v>120</v>
      </c>
      <c r="H109" s="380">
        <v>12</v>
      </c>
      <c r="I109" s="381" t="str">
        <f>IF(H109&lt;=0,"",IF(H109&lt;=2,"Muy Baja",IF(H109&lt;=24,"Baja",IF(H109&lt;=500,"Media",IF(H109&lt;=5000,"Alta","Muy Alta")))))</f>
        <v>Baja</v>
      </c>
      <c r="J109" s="382">
        <f>IF(I109="","",IF(I109="Muy Baja",0.2,IF(I109="Baja",0.4,IF(I109="Media",0.6,IF(I109="Alta",0.8,IF(I109="Muy Alta",1,))))))</f>
        <v>0.4</v>
      </c>
      <c r="K109" s="382" t="s">
        <v>142</v>
      </c>
      <c r="L109" s="382" t="str">
        <f>IF(NOT(ISERROR(MATCH(K109,'[6]Tabla Impacto'!$B$221:$B$223,0))),'[6]Tabla Impacto'!$F$223&amp;"Por favor no seleccionar los criterios de impacto(Afectación Económica o presupuestal y Pérdida Reputacional)",K109)</f>
        <v xml:space="preserve">     El riesgo afecta la imagen de la entidad con algunos usuarios de relevancia frente al logro de los objetivos</v>
      </c>
      <c r="M109" s="381" t="str">
        <f>IF(OR(L109='[6]Tabla Impacto'!$C$11,L109='[6]Tabla Impacto'!$D$11),"Leve",IF(OR(L109='[6]Tabla Impacto'!$C$12,L109='[6]Tabla Impacto'!$D$12),"Menor",IF(OR(L109='[6]Tabla Impacto'!$C$13,L109='[6]Tabla Impacto'!$D$13),"Moderado",IF(OR(L109='[6]Tabla Impacto'!$C$14,L109='[6]Tabla Impacto'!$D$14),"Mayor",IF(OR(L109='[6]Tabla Impacto'!$C$15,L109='[6]Tabla Impacto'!$D$15),"Catastrófico","")))))</f>
        <v>Moderado</v>
      </c>
      <c r="N109" s="382">
        <f>IF(M109="","",IF(M109="Leve",0.2,IF(M109="Menor",0.4,IF(M109="Moderado",0.6,IF(M109="Mayor",0.8,IF(M109="Catastrófico",1,))))))</f>
        <v>0.6</v>
      </c>
      <c r="O109" s="383" t="str">
        <f>IF(OR(AND(I109="Muy Baja",M109="Leve"),AND(I109="Muy Baja",M109="Menor"),AND(I109="Baja",M109="Leve")),"Bajo",IF(OR(AND(I109="Muy baja",M109="Moderado"),AND(I109="Baja",M109="Menor"),AND(I109="Baja",M109="Moderado"),AND(I109="Media",M109="Leve"),AND(I109="Media",M109="Menor"),AND(I109="Media",M109="Moderado"),AND(I109="Alta",M109="Leve"),AND(I109="Alta",M109="Menor")),"Moderado",IF(OR(AND(I109="Muy Baja",M109="Mayor"),AND(I109="Baja",M109="Mayor"),AND(I109="Media",M109="Mayor"),AND(I109="Alta",M109="Moderado"),AND(I109="Alta",M109="Mayor"),AND(I109="Muy Alta",M109="Leve"),AND(I109="Muy Alta",M109="Menor"),AND(I109="Muy Alta",M109="Moderado"),AND(I109="Muy Alta",M109="Mayor")),"Alto",IF(OR(AND(I109="Muy Baja",M109="Catastrófico"),AND(I109="Baja",M109="Catastrófico"),AND(I109="Media",M109="Catastrófico"),AND(I109="Alta",M109="Catastrófico"),AND(I109="Muy Alta",M109="Catastrófico")),"Extremo",""))))</f>
        <v>Moderado</v>
      </c>
      <c r="P109" s="190">
        <v>1</v>
      </c>
      <c r="Q109" s="191" t="s">
        <v>412</v>
      </c>
      <c r="R109" s="190" t="str">
        <f t="shared" si="86"/>
        <v>Probabilidad</v>
      </c>
      <c r="S109" s="192" t="s">
        <v>14</v>
      </c>
      <c r="T109" s="192" t="s">
        <v>9</v>
      </c>
      <c r="U109" s="193" t="str">
        <f t="shared" si="81"/>
        <v>40%</v>
      </c>
      <c r="V109" s="192" t="s">
        <v>19</v>
      </c>
      <c r="W109" s="192" t="s">
        <v>23</v>
      </c>
      <c r="X109" s="192" t="s">
        <v>111</v>
      </c>
      <c r="Y109" s="194">
        <f>IFERROR(IF(R109="Probabilidad",(J109-(+J109*U109)),IF(R109="Impacto",J109,"")),"")</f>
        <v>0.24</v>
      </c>
      <c r="Z109" s="195" t="str">
        <f t="shared" si="82"/>
        <v>Baja</v>
      </c>
      <c r="AA109" s="196">
        <f t="shared" si="83"/>
        <v>0.24</v>
      </c>
      <c r="AB109" s="195" t="str">
        <f t="shared" si="84"/>
        <v>Moderado</v>
      </c>
      <c r="AC109" s="196">
        <f>IFERROR(IF(R109="Impacto",(N109-(+N109*U109)),IF(R109="Probabilidad",N109,"")),"")</f>
        <v>0.6</v>
      </c>
      <c r="AD109" s="197" t="str">
        <f t="shared" si="85"/>
        <v>Moderado</v>
      </c>
      <c r="AE109" s="198" t="s">
        <v>257</v>
      </c>
      <c r="AF109" s="199" t="s">
        <v>413</v>
      </c>
      <c r="AG109" s="200" t="s">
        <v>414</v>
      </c>
      <c r="AH109" s="200" t="s">
        <v>415</v>
      </c>
      <c r="AI109" s="201" t="s">
        <v>416</v>
      </c>
      <c r="AJ109" s="200" t="s">
        <v>417</v>
      </c>
      <c r="AK109" s="202">
        <v>44711</v>
      </c>
      <c r="AL109" s="202">
        <v>44926</v>
      </c>
      <c r="AM109" s="380">
        <v>4048</v>
      </c>
      <c r="AN109" s="380"/>
    </row>
    <row r="110" spans="1:40" ht="67.5">
      <c r="A110" s="342"/>
      <c r="B110" s="377"/>
      <c r="C110" s="377"/>
      <c r="D110" s="377"/>
      <c r="E110" s="377"/>
      <c r="F110" s="377"/>
      <c r="G110" s="377"/>
      <c r="H110" s="377"/>
      <c r="I110" s="377"/>
      <c r="J110" s="377"/>
      <c r="K110" s="377"/>
      <c r="L110" s="377"/>
      <c r="M110" s="377"/>
      <c r="N110" s="377"/>
      <c r="O110" s="377"/>
      <c r="P110" s="190">
        <v>2</v>
      </c>
      <c r="Q110" s="191" t="s">
        <v>418</v>
      </c>
      <c r="R110" s="190" t="str">
        <f t="shared" si="86"/>
        <v>Probabilidad</v>
      </c>
      <c r="S110" s="192" t="s">
        <v>14</v>
      </c>
      <c r="T110" s="192" t="s">
        <v>9</v>
      </c>
      <c r="U110" s="193" t="str">
        <f t="shared" si="81"/>
        <v>40%</v>
      </c>
      <c r="V110" s="192" t="s">
        <v>19</v>
      </c>
      <c r="W110" s="192" t="s">
        <v>22</v>
      </c>
      <c r="X110" s="192" t="s">
        <v>111</v>
      </c>
      <c r="Y110" s="194">
        <f>IFERROR(IF(AND(R109="Probabilidad",R110="Probabilidad"),(AA109-(+AA109*U110)),IF(R110="Probabilidad",(J109-(+J109*U110)),IF(R110="Impacto",AA109,""))),"")</f>
        <v>0.14399999999999999</v>
      </c>
      <c r="Z110" s="195" t="str">
        <f t="shared" si="82"/>
        <v>Muy Baja</v>
      </c>
      <c r="AA110" s="196">
        <f t="shared" si="83"/>
        <v>0.14399999999999999</v>
      </c>
      <c r="AB110" s="195" t="str">
        <f t="shared" si="84"/>
        <v>Moderado</v>
      </c>
      <c r="AC110" s="196">
        <f>IFERROR(IF(AND(R109="Impacto",R110="Impacto"),(AC109-(+AC109*U110)),IF(R110="Impacto",(N109-(+N109*U110)),IF(R110="Probabilidad",AC109,""))),"")</f>
        <v>0.6</v>
      </c>
      <c r="AD110" s="197" t="str">
        <f t="shared" si="85"/>
        <v>Moderado</v>
      </c>
      <c r="AE110" s="198" t="s">
        <v>257</v>
      </c>
      <c r="AF110" s="199" t="s">
        <v>419</v>
      </c>
      <c r="AG110" s="200" t="s">
        <v>414</v>
      </c>
      <c r="AH110" s="200" t="s">
        <v>415</v>
      </c>
      <c r="AI110" s="201" t="s">
        <v>416</v>
      </c>
      <c r="AJ110" s="200" t="s">
        <v>417</v>
      </c>
      <c r="AK110" s="202">
        <v>44773</v>
      </c>
      <c r="AL110" s="202">
        <v>44926</v>
      </c>
      <c r="AM110" s="377"/>
      <c r="AN110" s="377"/>
    </row>
    <row r="111" spans="1:40" ht="67.5">
      <c r="A111" s="342"/>
      <c r="B111" s="377"/>
      <c r="C111" s="377"/>
      <c r="D111" s="377"/>
      <c r="E111" s="377"/>
      <c r="F111" s="377"/>
      <c r="G111" s="377"/>
      <c r="H111" s="377"/>
      <c r="I111" s="377"/>
      <c r="J111" s="377"/>
      <c r="K111" s="377"/>
      <c r="L111" s="377"/>
      <c r="M111" s="377"/>
      <c r="N111" s="377"/>
      <c r="O111" s="377"/>
      <c r="P111" s="190">
        <v>3</v>
      </c>
      <c r="Q111" s="191"/>
      <c r="R111" s="190" t="str">
        <f t="shared" si="86"/>
        <v/>
      </c>
      <c r="S111" s="192"/>
      <c r="T111" s="192"/>
      <c r="U111" s="193" t="str">
        <f t="shared" si="81"/>
        <v/>
      </c>
      <c r="V111" s="192"/>
      <c r="W111" s="192"/>
      <c r="X111" s="192"/>
      <c r="Y111" s="194" t="str">
        <f t="shared" ref="Y111:Y114" si="89">IFERROR(IF(AND(R110="Probabilidad",R111="Probabilidad"),(AA110-(+AA110*U111)),IF(AND(R110="Impacto",R111="Probabilidad"),(AA109-(+AA109*U111)),IF(R111="Impacto",AA110,""))),"")</f>
        <v/>
      </c>
      <c r="Z111" s="195" t="str">
        <f t="shared" si="82"/>
        <v/>
      </c>
      <c r="AA111" s="196" t="str">
        <f t="shared" si="83"/>
        <v/>
      </c>
      <c r="AB111" s="195" t="str">
        <f t="shared" si="84"/>
        <v/>
      </c>
      <c r="AC111" s="196" t="str">
        <f t="shared" ref="AC111:AC114" si="90">IFERROR(IF(AND(R110="Impacto",R111="Impacto"),(AC110-(+AC110*U111)),IF(AND(R110="Probabilidad",R111="Impacto"),(AC109-(+AC109*U111)),IF(R111="Probabilidad",AC110,""))),"")</f>
        <v/>
      </c>
      <c r="AD111" s="197" t="str">
        <f t="shared" si="85"/>
        <v/>
      </c>
      <c r="AE111" s="198"/>
      <c r="AF111" s="199" t="s">
        <v>420</v>
      </c>
      <c r="AG111" s="201" t="s">
        <v>421</v>
      </c>
      <c r="AH111" s="201" t="s">
        <v>422</v>
      </c>
      <c r="AI111" s="201" t="s">
        <v>416</v>
      </c>
      <c r="AJ111" s="200" t="s">
        <v>417</v>
      </c>
      <c r="AK111" s="202">
        <v>44742</v>
      </c>
      <c r="AL111" s="202">
        <v>44926</v>
      </c>
      <c r="AM111" s="377"/>
      <c r="AN111" s="377"/>
    </row>
    <row r="112" spans="1:40">
      <c r="A112" s="342"/>
      <c r="B112" s="377"/>
      <c r="C112" s="377"/>
      <c r="D112" s="377"/>
      <c r="E112" s="377"/>
      <c r="F112" s="377"/>
      <c r="G112" s="377"/>
      <c r="H112" s="377"/>
      <c r="I112" s="377"/>
      <c r="J112" s="377"/>
      <c r="K112" s="377"/>
      <c r="L112" s="377"/>
      <c r="M112" s="377"/>
      <c r="N112" s="377"/>
      <c r="O112" s="377"/>
      <c r="P112" s="190">
        <v>4</v>
      </c>
      <c r="Q112" s="191"/>
      <c r="R112" s="190" t="str">
        <f t="shared" si="86"/>
        <v/>
      </c>
      <c r="S112" s="192"/>
      <c r="T112" s="192"/>
      <c r="U112" s="193" t="str">
        <f t="shared" si="81"/>
        <v/>
      </c>
      <c r="V112" s="192"/>
      <c r="W112" s="192"/>
      <c r="X112" s="192"/>
      <c r="Y112" s="194" t="str">
        <f t="shared" si="89"/>
        <v/>
      </c>
      <c r="Z112" s="195" t="str">
        <f t="shared" si="82"/>
        <v/>
      </c>
      <c r="AA112" s="196" t="str">
        <f t="shared" si="83"/>
        <v/>
      </c>
      <c r="AB112" s="195" t="str">
        <f t="shared" si="84"/>
        <v/>
      </c>
      <c r="AC112" s="196" t="str">
        <f t="shared" si="90"/>
        <v/>
      </c>
      <c r="AD112" s="197" t="str">
        <f t="shared" si="85"/>
        <v/>
      </c>
      <c r="AE112" s="198"/>
      <c r="AF112" s="203"/>
      <c r="AG112" s="200"/>
      <c r="AH112" s="200"/>
      <c r="AI112" s="200"/>
      <c r="AJ112" s="200"/>
      <c r="AK112" s="202"/>
      <c r="AL112" s="202"/>
      <c r="AM112" s="377"/>
      <c r="AN112" s="377"/>
    </row>
    <row r="113" spans="1:40">
      <c r="A113" s="342"/>
      <c r="B113" s="377"/>
      <c r="C113" s="377"/>
      <c r="D113" s="377"/>
      <c r="E113" s="377"/>
      <c r="F113" s="377"/>
      <c r="G113" s="377"/>
      <c r="H113" s="377"/>
      <c r="I113" s="377"/>
      <c r="J113" s="377"/>
      <c r="K113" s="377"/>
      <c r="L113" s="377"/>
      <c r="M113" s="377"/>
      <c r="N113" s="377"/>
      <c r="O113" s="377"/>
      <c r="P113" s="190">
        <v>5</v>
      </c>
      <c r="Q113" s="191"/>
      <c r="R113" s="190" t="str">
        <f t="shared" si="86"/>
        <v/>
      </c>
      <c r="S113" s="192"/>
      <c r="T113" s="192"/>
      <c r="U113" s="193" t="str">
        <f t="shared" si="81"/>
        <v/>
      </c>
      <c r="V113" s="192"/>
      <c r="W113" s="192"/>
      <c r="X113" s="192"/>
      <c r="Y113" s="194" t="str">
        <f t="shared" si="89"/>
        <v/>
      </c>
      <c r="Z113" s="195" t="str">
        <f t="shared" si="82"/>
        <v/>
      </c>
      <c r="AA113" s="196" t="str">
        <f t="shared" si="83"/>
        <v/>
      </c>
      <c r="AB113" s="195" t="str">
        <f t="shared" si="84"/>
        <v/>
      </c>
      <c r="AC113" s="196" t="str">
        <f t="shared" si="90"/>
        <v/>
      </c>
      <c r="AD113" s="197" t="str">
        <f t="shared" si="85"/>
        <v/>
      </c>
      <c r="AE113" s="198"/>
      <c r="AF113" s="203"/>
      <c r="AG113" s="200"/>
      <c r="AH113" s="200"/>
      <c r="AI113" s="200"/>
      <c r="AJ113" s="200"/>
      <c r="AK113" s="202"/>
      <c r="AL113" s="202"/>
      <c r="AM113" s="377"/>
      <c r="AN113" s="377"/>
    </row>
    <row r="114" spans="1:40">
      <c r="A114" s="343"/>
      <c r="B114" s="378"/>
      <c r="C114" s="378"/>
      <c r="D114" s="378"/>
      <c r="E114" s="378"/>
      <c r="F114" s="378"/>
      <c r="G114" s="378"/>
      <c r="H114" s="378"/>
      <c r="I114" s="378"/>
      <c r="J114" s="378"/>
      <c r="K114" s="378"/>
      <c r="L114" s="378"/>
      <c r="M114" s="378"/>
      <c r="N114" s="378"/>
      <c r="O114" s="378"/>
      <c r="P114" s="190">
        <v>6</v>
      </c>
      <c r="Q114" s="191"/>
      <c r="R114" s="190" t="str">
        <f t="shared" si="86"/>
        <v/>
      </c>
      <c r="S114" s="192"/>
      <c r="T114" s="192"/>
      <c r="U114" s="193" t="str">
        <f t="shared" si="81"/>
        <v/>
      </c>
      <c r="V114" s="192"/>
      <c r="W114" s="192"/>
      <c r="X114" s="192"/>
      <c r="Y114" s="194" t="str">
        <f t="shared" si="89"/>
        <v/>
      </c>
      <c r="Z114" s="195" t="str">
        <f t="shared" si="82"/>
        <v/>
      </c>
      <c r="AA114" s="196" t="str">
        <f t="shared" si="83"/>
        <v/>
      </c>
      <c r="AB114" s="195" t="str">
        <f t="shared" si="84"/>
        <v/>
      </c>
      <c r="AC114" s="196" t="str">
        <f t="shared" si="90"/>
        <v/>
      </c>
      <c r="AD114" s="197" t="str">
        <f t="shared" si="85"/>
        <v/>
      </c>
      <c r="AE114" s="198"/>
      <c r="AF114" s="203"/>
      <c r="AG114" s="200"/>
      <c r="AH114" s="200"/>
      <c r="AI114" s="200"/>
      <c r="AJ114" s="200"/>
      <c r="AK114" s="202"/>
      <c r="AL114" s="202"/>
      <c r="AM114" s="378"/>
      <c r="AN114" s="378"/>
    </row>
    <row r="115" spans="1:40" ht="54">
      <c r="A115" s="341">
        <v>18</v>
      </c>
      <c r="B115" s="344" t="s">
        <v>208</v>
      </c>
      <c r="C115" s="344" t="s">
        <v>123</v>
      </c>
      <c r="D115" s="344" t="s">
        <v>423</v>
      </c>
      <c r="E115" s="344" t="s">
        <v>424</v>
      </c>
      <c r="F115" s="347" t="s">
        <v>425</v>
      </c>
      <c r="G115" s="344" t="s">
        <v>115</v>
      </c>
      <c r="H115" s="350">
        <v>50</v>
      </c>
      <c r="I115" s="353" t="s">
        <v>99</v>
      </c>
      <c r="J115" s="356">
        <v>0.6</v>
      </c>
      <c r="K115" s="359" t="s">
        <v>142</v>
      </c>
      <c r="L115" s="356" t="s">
        <v>142</v>
      </c>
      <c r="M115" s="353" t="s">
        <v>77</v>
      </c>
      <c r="N115" s="356">
        <v>0.6</v>
      </c>
      <c r="O115" s="362" t="s">
        <v>77</v>
      </c>
      <c r="P115" s="124">
        <v>1</v>
      </c>
      <c r="Q115" s="178" t="s">
        <v>426</v>
      </c>
      <c r="R115" s="125" t="s">
        <v>4</v>
      </c>
      <c r="S115" s="170" t="s">
        <v>14</v>
      </c>
      <c r="T115" s="170" t="s">
        <v>9</v>
      </c>
      <c r="U115" s="127" t="s">
        <v>346</v>
      </c>
      <c r="V115" s="170" t="s">
        <v>19</v>
      </c>
      <c r="W115" s="170" t="s">
        <v>22</v>
      </c>
      <c r="X115" s="170" t="s">
        <v>111</v>
      </c>
      <c r="Y115" s="128">
        <f>IFERROR(IF(R115="Probabilidad",(J115-(+J115*U115)),IF(R115="Impacto",J115,"")),"")</f>
        <v>0.36</v>
      </c>
      <c r="Z115" s="129" t="s">
        <v>49</v>
      </c>
      <c r="AA115" s="130">
        <v>0.36</v>
      </c>
      <c r="AB115" s="129" t="s">
        <v>77</v>
      </c>
      <c r="AC115" s="130">
        <v>0.6</v>
      </c>
      <c r="AD115" s="131" t="s">
        <v>77</v>
      </c>
      <c r="AE115" s="183" t="s">
        <v>257</v>
      </c>
      <c r="AF115" s="184" t="s">
        <v>427</v>
      </c>
      <c r="AG115" s="175" t="s">
        <v>428</v>
      </c>
      <c r="AH115" s="175" t="s">
        <v>429</v>
      </c>
      <c r="AI115" s="175" t="s">
        <v>430</v>
      </c>
      <c r="AJ115" s="175" t="s">
        <v>431</v>
      </c>
      <c r="AK115" s="176" t="s">
        <v>432</v>
      </c>
      <c r="AL115" s="176" t="s">
        <v>433</v>
      </c>
      <c r="AM115" s="350">
        <v>4109</v>
      </c>
      <c r="AN115" s="350"/>
    </row>
    <row r="116" spans="1:40" ht="48">
      <c r="A116" s="342"/>
      <c r="B116" s="345"/>
      <c r="C116" s="345"/>
      <c r="D116" s="345"/>
      <c r="E116" s="345"/>
      <c r="F116" s="348"/>
      <c r="G116" s="345"/>
      <c r="H116" s="351"/>
      <c r="I116" s="354"/>
      <c r="J116" s="357"/>
      <c r="K116" s="360"/>
      <c r="L116" s="357">
        <v>0</v>
      </c>
      <c r="M116" s="354"/>
      <c r="N116" s="357"/>
      <c r="O116" s="363"/>
      <c r="P116" s="124">
        <v>2</v>
      </c>
      <c r="Q116" s="178" t="s">
        <v>434</v>
      </c>
      <c r="R116" s="125" t="s">
        <v>4</v>
      </c>
      <c r="S116" s="170" t="s">
        <v>14</v>
      </c>
      <c r="T116" s="170" t="s">
        <v>9</v>
      </c>
      <c r="U116" s="127" t="s">
        <v>346</v>
      </c>
      <c r="V116" s="170" t="s">
        <v>19</v>
      </c>
      <c r="W116" s="170" t="s">
        <v>22</v>
      </c>
      <c r="X116" s="170" t="s">
        <v>111</v>
      </c>
      <c r="Y116" s="128">
        <f>IFERROR(IF(AND(R115="Probabilidad",R116="Probabilidad"),(AA115-(+AA115*U116)),IF(R116="Probabilidad",(J115-(+J115*U116)),IF(R116="Impacto",AA115,""))),"")</f>
        <v>0.216</v>
      </c>
      <c r="Z116" s="129" t="s">
        <v>49</v>
      </c>
      <c r="AA116" s="130">
        <v>0.216</v>
      </c>
      <c r="AB116" s="129" t="s">
        <v>77</v>
      </c>
      <c r="AC116" s="130">
        <v>0.6</v>
      </c>
      <c r="AD116" s="131" t="s">
        <v>77</v>
      </c>
      <c r="AE116" s="183" t="s">
        <v>257</v>
      </c>
      <c r="AF116" s="184" t="s">
        <v>435</v>
      </c>
      <c r="AG116" s="175" t="s">
        <v>436</v>
      </c>
      <c r="AH116" s="175" t="s">
        <v>437</v>
      </c>
      <c r="AI116" s="175" t="s">
        <v>430</v>
      </c>
      <c r="AJ116" s="175" t="s">
        <v>428</v>
      </c>
      <c r="AK116" s="176" t="s">
        <v>432</v>
      </c>
      <c r="AL116" s="176" t="s">
        <v>433</v>
      </c>
      <c r="AM116" s="351"/>
      <c r="AN116" s="351"/>
    </row>
    <row r="117" spans="1:40">
      <c r="A117" s="342"/>
      <c r="B117" s="345"/>
      <c r="C117" s="345"/>
      <c r="D117" s="345"/>
      <c r="E117" s="345"/>
      <c r="F117" s="348"/>
      <c r="G117" s="345"/>
      <c r="H117" s="351"/>
      <c r="I117" s="354"/>
      <c r="J117" s="357"/>
      <c r="K117" s="360"/>
      <c r="L117" s="357">
        <v>0</v>
      </c>
      <c r="M117" s="354"/>
      <c r="N117" s="357"/>
      <c r="O117" s="363"/>
      <c r="P117" s="124">
        <v>3</v>
      </c>
      <c r="Q117" s="178"/>
      <c r="R117" s="125" t="s">
        <v>361</v>
      </c>
      <c r="S117" s="170"/>
      <c r="T117" s="170"/>
      <c r="U117" s="127" t="s">
        <v>361</v>
      </c>
      <c r="V117" s="170"/>
      <c r="W117" s="170"/>
      <c r="X117" s="170"/>
      <c r="Y117" s="128" t="str">
        <f>IFERROR(IF(AND(R116="Probabilidad",R117="Probabilidad"),(AA116-(+AA116*U117)),IF(AND(R116="Impacto",R117="Probabilidad"),(AA115-(+AA115*U117)),IF(R117="Impacto",AA116,""))),"")</f>
        <v/>
      </c>
      <c r="Z117" s="129" t="s">
        <v>361</v>
      </c>
      <c r="AA117" s="130" t="s">
        <v>361</v>
      </c>
      <c r="AB117" s="129" t="s">
        <v>361</v>
      </c>
      <c r="AC117" s="130" t="s">
        <v>361</v>
      </c>
      <c r="AD117" s="131" t="s">
        <v>361</v>
      </c>
      <c r="AE117" s="183"/>
      <c r="AF117" s="184"/>
      <c r="AG117" s="175"/>
      <c r="AH117" s="175"/>
      <c r="AI117" s="175"/>
      <c r="AJ117" s="175"/>
      <c r="AK117" s="176"/>
      <c r="AL117" s="176"/>
      <c r="AM117" s="351"/>
      <c r="AN117" s="351"/>
    </row>
    <row r="118" spans="1:40">
      <c r="A118" s="342"/>
      <c r="B118" s="345"/>
      <c r="C118" s="345"/>
      <c r="D118" s="345"/>
      <c r="E118" s="345"/>
      <c r="F118" s="348"/>
      <c r="G118" s="345"/>
      <c r="H118" s="351"/>
      <c r="I118" s="354"/>
      <c r="J118" s="357"/>
      <c r="K118" s="360"/>
      <c r="L118" s="357">
        <v>0</v>
      </c>
      <c r="M118" s="354"/>
      <c r="N118" s="357"/>
      <c r="O118" s="363"/>
      <c r="P118" s="124">
        <v>4</v>
      </c>
      <c r="Q118" s="178"/>
      <c r="R118" s="125" t="s">
        <v>361</v>
      </c>
      <c r="S118" s="170"/>
      <c r="T118" s="170"/>
      <c r="U118" s="127" t="s">
        <v>361</v>
      </c>
      <c r="V118" s="170"/>
      <c r="W118" s="170"/>
      <c r="X118" s="170"/>
      <c r="Y118" s="128" t="str">
        <f t="shared" ref="Y118:Y120" si="91">IFERROR(IF(AND(R117="Probabilidad",R118="Probabilidad"),(AA117-(+AA117*U118)),IF(AND(R117="Impacto",R118="Probabilidad"),(AA116-(+AA116*U118)),IF(R118="Impacto",AA117,""))),"")</f>
        <v/>
      </c>
      <c r="Z118" s="129" t="s">
        <v>361</v>
      </c>
      <c r="AA118" s="130" t="s">
        <v>361</v>
      </c>
      <c r="AB118" s="129" t="s">
        <v>361</v>
      </c>
      <c r="AC118" s="130" t="s">
        <v>361</v>
      </c>
      <c r="AD118" s="131" t="s">
        <v>361</v>
      </c>
      <c r="AE118" s="183"/>
      <c r="AF118" s="184"/>
      <c r="AG118" s="175"/>
      <c r="AH118" s="175"/>
      <c r="AI118" s="175"/>
      <c r="AJ118" s="175"/>
      <c r="AK118" s="176"/>
      <c r="AL118" s="176"/>
      <c r="AM118" s="351"/>
      <c r="AN118" s="351"/>
    </row>
    <row r="119" spans="1:40">
      <c r="A119" s="342"/>
      <c r="B119" s="345"/>
      <c r="C119" s="345"/>
      <c r="D119" s="345"/>
      <c r="E119" s="345"/>
      <c r="F119" s="348"/>
      <c r="G119" s="345"/>
      <c r="H119" s="351"/>
      <c r="I119" s="354"/>
      <c r="J119" s="357"/>
      <c r="K119" s="360"/>
      <c r="L119" s="357">
        <v>0</v>
      </c>
      <c r="M119" s="354"/>
      <c r="N119" s="357"/>
      <c r="O119" s="363"/>
      <c r="P119" s="124">
        <v>5</v>
      </c>
      <c r="Q119" s="178"/>
      <c r="R119" s="125" t="s">
        <v>361</v>
      </c>
      <c r="S119" s="170"/>
      <c r="T119" s="170"/>
      <c r="U119" s="127" t="s">
        <v>361</v>
      </c>
      <c r="V119" s="170"/>
      <c r="W119" s="170"/>
      <c r="X119" s="170"/>
      <c r="Y119" s="128" t="str">
        <f t="shared" si="91"/>
        <v/>
      </c>
      <c r="Z119" s="129" t="s">
        <v>361</v>
      </c>
      <c r="AA119" s="130" t="s">
        <v>361</v>
      </c>
      <c r="AB119" s="129" t="s">
        <v>361</v>
      </c>
      <c r="AC119" s="130" t="s">
        <v>361</v>
      </c>
      <c r="AD119" s="131" t="s">
        <v>361</v>
      </c>
      <c r="AE119" s="183"/>
      <c r="AF119" s="184"/>
      <c r="AG119" s="175"/>
      <c r="AH119" s="175"/>
      <c r="AI119" s="175"/>
      <c r="AJ119" s="175"/>
      <c r="AK119" s="176"/>
      <c r="AL119" s="176"/>
      <c r="AM119" s="351"/>
      <c r="AN119" s="351"/>
    </row>
    <row r="120" spans="1:40">
      <c r="A120" s="343"/>
      <c r="B120" s="346"/>
      <c r="C120" s="346"/>
      <c r="D120" s="346"/>
      <c r="E120" s="346"/>
      <c r="F120" s="349"/>
      <c r="G120" s="346"/>
      <c r="H120" s="352"/>
      <c r="I120" s="355"/>
      <c r="J120" s="358"/>
      <c r="K120" s="361"/>
      <c r="L120" s="358">
        <v>0</v>
      </c>
      <c r="M120" s="355"/>
      <c r="N120" s="358"/>
      <c r="O120" s="364"/>
      <c r="P120" s="124">
        <v>6</v>
      </c>
      <c r="Q120" s="178"/>
      <c r="R120" s="125" t="s">
        <v>361</v>
      </c>
      <c r="S120" s="170"/>
      <c r="T120" s="170"/>
      <c r="U120" s="127" t="s">
        <v>361</v>
      </c>
      <c r="V120" s="170"/>
      <c r="W120" s="170"/>
      <c r="X120" s="170"/>
      <c r="Y120" s="128" t="str">
        <f t="shared" si="91"/>
        <v/>
      </c>
      <c r="Z120" s="129" t="s">
        <v>361</v>
      </c>
      <c r="AA120" s="130" t="s">
        <v>361</v>
      </c>
      <c r="AB120" s="129" t="s">
        <v>361</v>
      </c>
      <c r="AC120" s="130" t="s">
        <v>361</v>
      </c>
      <c r="AD120" s="131" t="s">
        <v>361</v>
      </c>
      <c r="AE120" s="183"/>
      <c r="AF120" s="184"/>
      <c r="AG120" s="175"/>
      <c r="AH120" s="175"/>
      <c r="AI120" s="175"/>
      <c r="AJ120" s="175"/>
      <c r="AK120" s="176"/>
      <c r="AL120" s="176"/>
      <c r="AM120" s="352"/>
      <c r="AN120" s="352"/>
    </row>
    <row r="121" spans="1:40" ht="54">
      <c r="A121" s="341">
        <v>19</v>
      </c>
      <c r="B121" s="344" t="s">
        <v>208</v>
      </c>
      <c r="C121" s="344" t="s">
        <v>125</v>
      </c>
      <c r="D121" s="344" t="s">
        <v>438</v>
      </c>
      <c r="E121" s="344" t="s">
        <v>439</v>
      </c>
      <c r="F121" s="347" t="s">
        <v>440</v>
      </c>
      <c r="G121" s="344" t="s">
        <v>115</v>
      </c>
      <c r="H121" s="350">
        <v>10000</v>
      </c>
      <c r="I121" s="353" t="s">
        <v>50</v>
      </c>
      <c r="J121" s="356">
        <v>1</v>
      </c>
      <c r="K121" s="359" t="s">
        <v>139</v>
      </c>
      <c r="L121" s="356" t="s">
        <v>139</v>
      </c>
      <c r="M121" s="353" t="s">
        <v>81</v>
      </c>
      <c r="N121" s="356">
        <v>1</v>
      </c>
      <c r="O121" s="362" t="s">
        <v>75</v>
      </c>
      <c r="P121" s="124">
        <v>1</v>
      </c>
      <c r="Q121" s="178" t="s">
        <v>441</v>
      </c>
      <c r="R121" s="125" t="s">
        <v>4</v>
      </c>
      <c r="S121" s="170" t="s">
        <v>14</v>
      </c>
      <c r="T121" s="170" t="s">
        <v>9</v>
      </c>
      <c r="U121" s="127" t="s">
        <v>346</v>
      </c>
      <c r="V121" s="170" t="s">
        <v>19</v>
      </c>
      <c r="W121" s="170" t="s">
        <v>22</v>
      </c>
      <c r="X121" s="170" t="s">
        <v>111</v>
      </c>
      <c r="Y121" s="128">
        <f>IFERROR(IF(R121="Probabilidad",(J121-(+J121*U121)),IF(R121="Impacto",J121,"")),"")</f>
        <v>0.6</v>
      </c>
      <c r="Z121" s="129" t="s">
        <v>99</v>
      </c>
      <c r="AA121" s="130">
        <v>0.6</v>
      </c>
      <c r="AB121" s="129" t="s">
        <v>81</v>
      </c>
      <c r="AC121" s="130">
        <v>1</v>
      </c>
      <c r="AD121" s="131" t="s">
        <v>75</v>
      </c>
      <c r="AE121" s="183" t="s">
        <v>32</v>
      </c>
      <c r="AF121" s="184" t="s">
        <v>442</v>
      </c>
      <c r="AG121" s="175" t="s">
        <v>443</v>
      </c>
      <c r="AH121" s="175" t="s">
        <v>444</v>
      </c>
      <c r="AI121" s="175" t="s">
        <v>445</v>
      </c>
      <c r="AJ121" s="175" t="s">
        <v>431</v>
      </c>
      <c r="AK121" s="176" t="s">
        <v>446</v>
      </c>
      <c r="AL121" s="176" t="s">
        <v>433</v>
      </c>
      <c r="AM121" s="350">
        <v>4110</v>
      </c>
      <c r="AN121" s="350"/>
    </row>
    <row r="122" spans="1:40" ht="54">
      <c r="A122" s="342"/>
      <c r="B122" s="345"/>
      <c r="C122" s="345"/>
      <c r="D122" s="345"/>
      <c r="E122" s="345"/>
      <c r="F122" s="348"/>
      <c r="G122" s="345"/>
      <c r="H122" s="351"/>
      <c r="I122" s="354"/>
      <c r="J122" s="357"/>
      <c r="K122" s="360"/>
      <c r="L122" s="357">
        <v>0</v>
      </c>
      <c r="M122" s="354"/>
      <c r="N122" s="357"/>
      <c r="O122" s="363"/>
      <c r="P122" s="124">
        <v>2</v>
      </c>
      <c r="Q122" s="178" t="s">
        <v>447</v>
      </c>
      <c r="R122" s="125" t="s">
        <v>2</v>
      </c>
      <c r="S122" s="170" t="s">
        <v>16</v>
      </c>
      <c r="T122" s="170" t="s">
        <v>9</v>
      </c>
      <c r="U122" s="127" t="s">
        <v>359</v>
      </c>
      <c r="V122" s="170" t="s">
        <v>19</v>
      </c>
      <c r="W122" s="170" t="s">
        <v>22</v>
      </c>
      <c r="X122" s="170" t="s">
        <v>111</v>
      </c>
      <c r="Y122" s="128">
        <f>IFERROR(IF(AND(R121="Probabilidad",R122="Probabilidad"),(AA121-(+AA121*U122)),IF(R122="Probabilidad",(J121-(+J121*U122)),IF(R122="Impacto",AA121,""))),"")</f>
        <v>0.6</v>
      </c>
      <c r="Z122" s="129" t="s">
        <v>99</v>
      </c>
      <c r="AA122" s="130">
        <v>0.6</v>
      </c>
      <c r="AB122" s="129" t="s">
        <v>7</v>
      </c>
      <c r="AC122" s="130">
        <v>0.75</v>
      </c>
      <c r="AD122" s="131" t="s">
        <v>76</v>
      </c>
      <c r="AE122" s="183" t="s">
        <v>32</v>
      </c>
      <c r="AF122" s="184" t="s">
        <v>448</v>
      </c>
      <c r="AG122" s="175" t="s">
        <v>443</v>
      </c>
      <c r="AH122" s="175" t="s">
        <v>444</v>
      </c>
      <c r="AI122" s="175" t="s">
        <v>445</v>
      </c>
      <c r="AJ122" s="175" t="s">
        <v>431</v>
      </c>
      <c r="AK122" s="176" t="s">
        <v>446</v>
      </c>
      <c r="AL122" s="176" t="s">
        <v>433</v>
      </c>
      <c r="AM122" s="351"/>
      <c r="AN122" s="351"/>
    </row>
    <row r="123" spans="1:40" ht="54">
      <c r="A123" s="342"/>
      <c r="B123" s="345"/>
      <c r="C123" s="345"/>
      <c r="D123" s="345"/>
      <c r="E123" s="345"/>
      <c r="F123" s="348"/>
      <c r="G123" s="345"/>
      <c r="H123" s="351"/>
      <c r="I123" s="354"/>
      <c r="J123" s="357"/>
      <c r="K123" s="360"/>
      <c r="L123" s="357">
        <v>0</v>
      </c>
      <c r="M123" s="354"/>
      <c r="N123" s="357"/>
      <c r="O123" s="363"/>
      <c r="P123" s="124">
        <v>3</v>
      </c>
      <c r="Q123" s="179" t="s">
        <v>449</v>
      </c>
      <c r="R123" s="125" t="s">
        <v>2</v>
      </c>
      <c r="S123" s="170" t="s">
        <v>16</v>
      </c>
      <c r="T123" s="170" t="s">
        <v>9</v>
      </c>
      <c r="U123" s="127" t="s">
        <v>359</v>
      </c>
      <c r="V123" s="170" t="s">
        <v>19</v>
      </c>
      <c r="W123" s="170" t="s">
        <v>22</v>
      </c>
      <c r="X123" s="170" t="s">
        <v>111</v>
      </c>
      <c r="Y123" s="128">
        <f>IFERROR(IF(AND(R122="Probabilidad",R123="Probabilidad"),(AA122-(+AA122*U123)),IF(AND(R122="Impacto",R123="Probabilidad"),(AA121-(+AA121*U123)),IF(R123="Impacto",AA122,""))),"")</f>
        <v>0.6</v>
      </c>
      <c r="Z123" s="129" t="s">
        <v>99</v>
      </c>
      <c r="AA123" s="130">
        <v>0.6</v>
      </c>
      <c r="AB123" s="129" t="s">
        <v>77</v>
      </c>
      <c r="AC123" s="130">
        <v>0.5625</v>
      </c>
      <c r="AD123" s="131" t="s">
        <v>77</v>
      </c>
      <c r="AE123" s="183" t="s">
        <v>257</v>
      </c>
      <c r="AF123" s="184" t="s">
        <v>450</v>
      </c>
      <c r="AG123" s="175" t="s">
        <v>443</v>
      </c>
      <c r="AH123" s="175" t="s">
        <v>444</v>
      </c>
      <c r="AI123" s="175" t="s">
        <v>445</v>
      </c>
      <c r="AJ123" s="175" t="s">
        <v>431</v>
      </c>
      <c r="AK123" s="176" t="s">
        <v>446</v>
      </c>
      <c r="AL123" s="176" t="s">
        <v>433</v>
      </c>
      <c r="AM123" s="351"/>
      <c r="AN123" s="351"/>
    </row>
    <row r="124" spans="1:40">
      <c r="A124" s="342"/>
      <c r="B124" s="345"/>
      <c r="C124" s="345"/>
      <c r="D124" s="345"/>
      <c r="E124" s="345"/>
      <c r="F124" s="348"/>
      <c r="G124" s="345"/>
      <c r="H124" s="351"/>
      <c r="I124" s="354"/>
      <c r="J124" s="357"/>
      <c r="K124" s="360"/>
      <c r="L124" s="357">
        <v>0</v>
      </c>
      <c r="M124" s="354"/>
      <c r="N124" s="357"/>
      <c r="O124" s="363"/>
      <c r="P124" s="124">
        <v>4</v>
      </c>
      <c r="Q124" s="178"/>
      <c r="R124" s="125" t="s">
        <v>361</v>
      </c>
      <c r="S124" s="170"/>
      <c r="T124" s="170"/>
      <c r="U124" s="127" t="s">
        <v>361</v>
      </c>
      <c r="V124" s="170"/>
      <c r="W124" s="170"/>
      <c r="X124" s="170"/>
      <c r="Y124" s="128" t="str">
        <f t="shared" ref="Y124:Y126" si="92">IFERROR(IF(AND(R123="Probabilidad",R124="Probabilidad"),(AA123-(+AA123*U124)),IF(AND(R123="Impacto",R124="Probabilidad"),(AA122-(+AA122*U124)),IF(R124="Impacto",AA123,""))),"")</f>
        <v/>
      </c>
      <c r="Z124" s="129" t="s">
        <v>361</v>
      </c>
      <c r="AA124" s="130" t="s">
        <v>361</v>
      </c>
      <c r="AB124" s="129" t="s">
        <v>361</v>
      </c>
      <c r="AC124" s="130" t="s">
        <v>361</v>
      </c>
      <c r="AD124" s="131" t="s">
        <v>361</v>
      </c>
      <c r="AE124" s="183"/>
      <c r="AF124" s="184"/>
      <c r="AG124" s="175"/>
      <c r="AH124" s="175"/>
      <c r="AI124" s="175"/>
      <c r="AJ124" s="175"/>
      <c r="AK124" s="176"/>
      <c r="AL124" s="176"/>
      <c r="AM124" s="351"/>
      <c r="AN124" s="351"/>
    </row>
    <row r="125" spans="1:40">
      <c r="A125" s="342"/>
      <c r="B125" s="345"/>
      <c r="C125" s="345"/>
      <c r="D125" s="345"/>
      <c r="E125" s="345"/>
      <c r="F125" s="348"/>
      <c r="G125" s="345"/>
      <c r="H125" s="351"/>
      <c r="I125" s="354"/>
      <c r="J125" s="357"/>
      <c r="K125" s="360"/>
      <c r="L125" s="357">
        <v>0</v>
      </c>
      <c r="M125" s="354"/>
      <c r="N125" s="357"/>
      <c r="O125" s="363"/>
      <c r="P125" s="124">
        <v>5</v>
      </c>
      <c r="Q125" s="178"/>
      <c r="R125" s="125" t="s">
        <v>361</v>
      </c>
      <c r="S125" s="170"/>
      <c r="T125" s="170"/>
      <c r="U125" s="127" t="s">
        <v>361</v>
      </c>
      <c r="V125" s="170"/>
      <c r="W125" s="170"/>
      <c r="X125" s="170"/>
      <c r="Y125" s="128" t="str">
        <f t="shared" si="92"/>
        <v/>
      </c>
      <c r="Z125" s="129" t="s">
        <v>361</v>
      </c>
      <c r="AA125" s="130" t="s">
        <v>361</v>
      </c>
      <c r="AB125" s="129" t="s">
        <v>361</v>
      </c>
      <c r="AC125" s="130" t="s">
        <v>361</v>
      </c>
      <c r="AD125" s="131" t="s">
        <v>361</v>
      </c>
      <c r="AE125" s="183"/>
      <c r="AF125" s="184"/>
      <c r="AG125" s="175"/>
      <c r="AH125" s="175"/>
      <c r="AI125" s="175"/>
      <c r="AJ125" s="175"/>
      <c r="AK125" s="176"/>
      <c r="AL125" s="176"/>
      <c r="AM125" s="351"/>
      <c r="AN125" s="351"/>
    </row>
    <row r="126" spans="1:40">
      <c r="A126" s="343"/>
      <c r="B126" s="346"/>
      <c r="C126" s="346"/>
      <c r="D126" s="346"/>
      <c r="E126" s="346"/>
      <c r="F126" s="349"/>
      <c r="G126" s="346"/>
      <c r="H126" s="352"/>
      <c r="I126" s="355"/>
      <c r="J126" s="358"/>
      <c r="K126" s="361"/>
      <c r="L126" s="358">
        <v>0</v>
      </c>
      <c r="M126" s="355"/>
      <c r="N126" s="358"/>
      <c r="O126" s="364"/>
      <c r="P126" s="124">
        <v>6</v>
      </c>
      <c r="Q126" s="178"/>
      <c r="R126" s="125" t="s">
        <v>361</v>
      </c>
      <c r="S126" s="170"/>
      <c r="T126" s="170"/>
      <c r="U126" s="127" t="s">
        <v>361</v>
      </c>
      <c r="V126" s="170"/>
      <c r="W126" s="170"/>
      <c r="X126" s="170"/>
      <c r="Y126" s="128" t="str">
        <f t="shared" si="92"/>
        <v/>
      </c>
      <c r="Z126" s="129" t="s">
        <v>361</v>
      </c>
      <c r="AA126" s="130" t="s">
        <v>361</v>
      </c>
      <c r="AB126" s="129" t="s">
        <v>361</v>
      </c>
      <c r="AC126" s="130" t="s">
        <v>361</v>
      </c>
      <c r="AD126" s="131" t="s">
        <v>361</v>
      </c>
      <c r="AE126" s="183"/>
      <c r="AF126" s="184"/>
      <c r="AG126" s="175"/>
      <c r="AH126" s="175"/>
      <c r="AI126" s="175"/>
      <c r="AJ126" s="175"/>
      <c r="AK126" s="176"/>
      <c r="AL126" s="176"/>
      <c r="AM126" s="352"/>
      <c r="AN126" s="352"/>
    </row>
    <row r="127" spans="1:40" ht="54">
      <c r="A127" s="341">
        <v>20</v>
      </c>
      <c r="B127" s="344" t="s">
        <v>208</v>
      </c>
      <c r="C127" s="344" t="s">
        <v>123</v>
      </c>
      <c r="D127" s="344" t="s">
        <v>451</v>
      </c>
      <c r="E127" s="344" t="s">
        <v>452</v>
      </c>
      <c r="F127" s="347" t="s">
        <v>453</v>
      </c>
      <c r="G127" s="344" t="s">
        <v>115</v>
      </c>
      <c r="H127" s="350">
        <v>4000</v>
      </c>
      <c r="I127" s="353" t="s">
        <v>6</v>
      </c>
      <c r="J127" s="356">
        <v>0.8</v>
      </c>
      <c r="K127" s="359" t="s">
        <v>142</v>
      </c>
      <c r="L127" s="356" t="s">
        <v>142</v>
      </c>
      <c r="M127" s="353" t="s">
        <v>77</v>
      </c>
      <c r="N127" s="356">
        <v>0.6</v>
      </c>
      <c r="O127" s="362" t="s">
        <v>76</v>
      </c>
      <c r="P127" s="124">
        <v>1</v>
      </c>
      <c r="Q127" s="178" t="s">
        <v>454</v>
      </c>
      <c r="R127" s="125" t="s">
        <v>4</v>
      </c>
      <c r="S127" s="170" t="s">
        <v>14</v>
      </c>
      <c r="T127" s="170" t="s">
        <v>9</v>
      </c>
      <c r="U127" s="127" t="s">
        <v>346</v>
      </c>
      <c r="V127" s="170" t="s">
        <v>19</v>
      </c>
      <c r="W127" s="170" t="s">
        <v>22</v>
      </c>
      <c r="X127" s="170" t="s">
        <v>111</v>
      </c>
      <c r="Y127" s="128">
        <f>IFERROR(IF(R127="Probabilidad",(J127-(+J127*U127)),IF(R127="Impacto",J127,"")),"")</f>
        <v>0.48</v>
      </c>
      <c r="Z127" s="129" t="s">
        <v>99</v>
      </c>
      <c r="AA127" s="130">
        <v>0.48</v>
      </c>
      <c r="AB127" s="129" t="s">
        <v>77</v>
      </c>
      <c r="AC127" s="130">
        <v>0.6</v>
      </c>
      <c r="AD127" s="131" t="s">
        <v>77</v>
      </c>
      <c r="AE127" s="183" t="s">
        <v>257</v>
      </c>
      <c r="AF127" s="184" t="s">
        <v>455</v>
      </c>
      <c r="AG127" s="175" t="s">
        <v>443</v>
      </c>
      <c r="AH127" s="175" t="s">
        <v>444</v>
      </c>
      <c r="AI127" s="175" t="s">
        <v>445</v>
      </c>
      <c r="AJ127" s="175" t="s">
        <v>431</v>
      </c>
      <c r="AK127" s="176" t="s">
        <v>446</v>
      </c>
      <c r="AL127" s="176" t="s">
        <v>433</v>
      </c>
      <c r="AM127" s="350">
        <v>4111</v>
      </c>
      <c r="AN127" s="350"/>
    </row>
    <row r="128" spans="1:40" ht="48">
      <c r="A128" s="342"/>
      <c r="B128" s="345"/>
      <c r="C128" s="345"/>
      <c r="D128" s="345"/>
      <c r="E128" s="345"/>
      <c r="F128" s="348"/>
      <c r="G128" s="345"/>
      <c r="H128" s="351"/>
      <c r="I128" s="354"/>
      <c r="J128" s="357"/>
      <c r="K128" s="360"/>
      <c r="L128" s="357">
        <v>0</v>
      </c>
      <c r="M128" s="354"/>
      <c r="N128" s="357"/>
      <c r="O128" s="363"/>
      <c r="P128" s="124">
        <v>2</v>
      </c>
      <c r="Q128" s="178" t="s">
        <v>456</v>
      </c>
      <c r="R128" s="125" t="s">
        <v>4</v>
      </c>
      <c r="S128" s="170" t="s">
        <v>14</v>
      </c>
      <c r="T128" s="170" t="s">
        <v>9</v>
      </c>
      <c r="U128" s="127" t="s">
        <v>346</v>
      </c>
      <c r="V128" s="170" t="s">
        <v>19</v>
      </c>
      <c r="W128" s="170" t="s">
        <v>22</v>
      </c>
      <c r="X128" s="170" t="s">
        <v>111</v>
      </c>
      <c r="Y128" s="128">
        <f>IFERROR(IF(AND(R127="Probabilidad",R128="Probabilidad"),(AA127-(+AA127*U128)),IF(R128="Probabilidad",(J127-(+J127*U128)),IF(R128="Impacto",AA127,""))),"")</f>
        <v>0.28799999999999998</v>
      </c>
      <c r="Z128" s="129" t="s">
        <v>49</v>
      </c>
      <c r="AA128" s="130">
        <v>0.28799999999999998</v>
      </c>
      <c r="AB128" s="129" t="s">
        <v>77</v>
      </c>
      <c r="AC128" s="130">
        <v>0.6</v>
      </c>
      <c r="AD128" s="131" t="s">
        <v>77</v>
      </c>
      <c r="AE128" s="183" t="s">
        <v>257</v>
      </c>
      <c r="AF128" s="184" t="s">
        <v>457</v>
      </c>
      <c r="AG128" s="175" t="s">
        <v>431</v>
      </c>
      <c r="AH128" s="175" t="s">
        <v>458</v>
      </c>
      <c r="AI128" s="175" t="s">
        <v>459</v>
      </c>
      <c r="AJ128" s="175" t="s">
        <v>460</v>
      </c>
      <c r="AK128" s="176" t="s">
        <v>446</v>
      </c>
      <c r="AL128" s="176" t="s">
        <v>433</v>
      </c>
      <c r="AM128" s="351"/>
      <c r="AN128" s="351"/>
    </row>
    <row r="129" spans="1:40">
      <c r="A129" s="342"/>
      <c r="B129" s="345"/>
      <c r="C129" s="345"/>
      <c r="D129" s="345"/>
      <c r="E129" s="345"/>
      <c r="F129" s="348"/>
      <c r="G129" s="345"/>
      <c r="H129" s="351"/>
      <c r="I129" s="354"/>
      <c r="J129" s="357"/>
      <c r="K129" s="360"/>
      <c r="L129" s="357">
        <v>0</v>
      </c>
      <c r="M129" s="354"/>
      <c r="N129" s="357"/>
      <c r="O129" s="363"/>
      <c r="P129" s="124">
        <v>3</v>
      </c>
      <c r="Q129" s="179"/>
      <c r="R129" s="125" t="s">
        <v>361</v>
      </c>
      <c r="S129" s="170"/>
      <c r="T129" s="170"/>
      <c r="U129" s="127" t="s">
        <v>361</v>
      </c>
      <c r="V129" s="170"/>
      <c r="W129" s="170"/>
      <c r="X129" s="170"/>
      <c r="Y129" s="128" t="str">
        <f>IFERROR(IF(AND(R128="Probabilidad",R129="Probabilidad"),(AA128-(+AA128*U129)),IF(AND(R128="Impacto",R129="Probabilidad"),(AA127-(+AA127*U129)),IF(R129="Impacto",AA128,""))),"")</f>
        <v/>
      </c>
      <c r="Z129" s="129" t="s">
        <v>361</v>
      </c>
      <c r="AA129" s="130" t="s">
        <v>361</v>
      </c>
      <c r="AB129" s="129" t="s">
        <v>361</v>
      </c>
      <c r="AC129" s="130" t="s">
        <v>361</v>
      </c>
      <c r="AD129" s="131" t="s">
        <v>361</v>
      </c>
      <c r="AE129" s="183"/>
      <c r="AF129" s="184"/>
      <c r="AG129" s="175"/>
      <c r="AH129" s="175"/>
      <c r="AI129" s="175"/>
      <c r="AJ129" s="175"/>
      <c r="AK129" s="176"/>
      <c r="AL129" s="176"/>
      <c r="AM129" s="351"/>
      <c r="AN129" s="351"/>
    </row>
    <row r="130" spans="1:40">
      <c r="A130" s="342"/>
      <c r="B130" s="345"/>
      <c r="C130" s="345"/>
      <c r="D130" s="345"/>
      <c r="E130" s="345"/>
      <c r="F130" s="348"/>
      <c r="G130" s="345"/>
      <c r="H130" s="351"/>
      <c r="I130" s="354"/>
      <c r="J130" s="357"/>
      <c r="K130" s="360"/>
      <c r="L130" s="357">
        <v>0</v>
      </c>
      <c r="M130" s="354"/>
      <c r="N130" s="357"/>
      <c r="O130" s="363"/>
      <c r="P130" s="124">
        <v>4</v>
      </c>
      <c r="Q130" s="178"/>
      <c r="R130" s="125" t="s">
        <v>361</v>
      </c>
      <c r="S130" s="170"/>
      <c r="T130" s="170"/>
      <c r="U130" s="127" t="s">
        <v>361</v>
      </c>
      <c r="V130" s="170"/>
      <c r="W130" s="170"/>
      <c r="X130" s="170"/>
      <c r="Y130" s="128" t="str">
        <f t="shared" ref="Y130:Y132" si="93">IFERROR(IF(AND(R129="Probabilidad",R130="Probabilidad"),(AA129-(+AA129*U130)),IF(AND(R129="Impacto",R130="Probabilidad"),(AA128-(+AA128*U130)),IF(R130="Impacto",AA129,""))),"")</f>
        <v/>
      </c>
      <c r="Z130" s="129" t="s">
        <v>361</v>
      </c>
      <c r="AA130" s="130" t="s">
        <v>361</v>
      </c>
      <c r="AB130" s="129" t="s">
        <v>361</v>
      </c>
      <c r="AC130" s="130" t="s">
        <v>361</v>
      </c>
      <c r="AD130" s="131" t="s">
        <v>361</v>
      </c>
      <c r="AE130" s="183"/>
      <c r="AF130" s="184"/>
      <c r="AG130" s="175"/>
      <c r="AH130" s="175"/>
      <c r="AI130" s="175"/>
      <c r="AJ130" s="175"/>
      <c r="AK130" s="176"/>
      <c r="AL130" s="176"/>
      <c r="AM130" s="351"/>
      <c r="AN130" s="351"/>
    </row>
    <row r="131" spans="1:40">
      <c r="A131" s="342"/>
      <c r="B131" s="345"/>
      <c r="C131" s="345"/>
      <c r="D131" s="345"/>
      <c r="E131" s="345"/>
      <c r="F131" s="348"/>
      <c r="G131" s="345"/>
      <c r="H131" s="351"/>
      <c r="I131" s="354"/>
      <c r="J131" s="357"/>
      <c r="K131" s="360"/>
      <c r="L131" s="357">
        <v>0</v>
      </c>
      <c r="M131" s="354"/>
      <c r="N131" s="357"/>
      <c r="O131" s="363"/>
      <c r="P131" s="124">
        <v>5</v>
      </c>
      <c r="Q131" s="178"/>
      <c r="R131" s="125" t="s">
        <v>361</v>
      </c>
      <c r="S131" s="170"/>
      <c r="T131" s="170"/>
      <c r="U131" s="127" t="s">
        <v>361</v>
      </c>
      <c r="V131" s="170"/>
      <c r="W131" s="170"/>
      <c r="X131" s="170"/>
      <c r="Y131" s="128" t="str">
        <f t="shared" si="93"/>
        <v/>
      </c>
      <c r="Z131" s="129" t="s">
        <v>361</v>
      </c>
      <c r="AA131" s="130" t="s">
        <v>361</v>
      </c>
      <c r="AB131" s="129" t="s">
        <v>361</v>
      </c>
      <c r="AC131" s="130" t="s">
        <v>361</v>
      </c>
      <c r="AD131" s="131" t="s">
        <v>361</v>
      </c>
      <c r="AE131" s="183"/>
      <c r="AF131" s="184"/>
      <c r="AG131" s="175"/>
      <c r="AH131" s="175"/>
      <c r="AI131" s="175"/>
      <c r="AJ131" s="175"/>
      <c r="AK131" s="176"/>
      <c r="AL131" s="176"/>
      <c r="AM131" s="351"/>
      <c r="AN131" s="351"/>
    </row>
    <row r="132" spans="1:40">
      <c r="A132" s="343"/>
      <c r="B132" s="346"/>
      <c r="C132" s="346"/>
      <c r="D132" s="346"/>
      <c r="E132" s="346"/>
      <c r="F132" s="349"/>
      <c r="G132" s="346"/>
      <c r="H132" s="352"/>
      <c r="I132" s="355"/>
      <c r="J132" s="358"/>
      <c r="K132" s="361"/>
      <c r="L132" s="358">
        <v>0</v>
      </c>
      <c r="M132" s="355"/>
      <c r="N132" s="358"/>
      <c r="O132" s="364"/>
      <c r="P132" s="124">
        <v>6</v>
      </c>
      <c r="Q132" s="178"/>
      <c r="R132" s="125" t="s">
        <v>361</v>
      </c>
      <c r="S132" s="170"/>
      <c r="T132" s="170"/>
      <c r="U132" s="127" t="s">
        <v>361</v>
      </c>
      <c r="V132" s="170"/>
      <c r="W132" s="170"/>
      <c r="X132" s="170"/>
      <c r="Y132" s="128" t="str">
        <f t="shared" si="93"/>
        <v/>
      </c>
      <c r="Z132" s="129" t="s">
        <v>361</v>
      </c>
      <c r="AA132" s="130" t="s">
        <v>361</v>
      </c>
      <c r="AB132" s="129" t="s">
        <v>361</v>
      </c>
      <c r="AC132" s="130" t="s">
        <v>361</v>
      </c>
      <c r="AD132" s="131" t="s">
        <v>361</v>
      </c>
      <c r="AE132" s="183"/>
      <c r="AF132" s="184"/>
      <c r="AG132" s="175"/>
      <c r="AH132" s="175"/>
      <c r="AI132" s="175"/>
      <c r="AJ132" s="175"/>
      <c r="AK132" s="176"/>
      <c r="AL132" s="176"/>
      <c r="AM132" s="352"/>
      <c r="AN132" s="352"/>
    </row>
    <row r="133" spans="1:40" ht="54">
      <c r="A133" s="341">
        <v>21</v>
      </c>
      <c r="B133" s="344" t="s">
        <v>213</v>
      </c>
      <c r="C133" s="344" t="s">
        <v>125</v>
      </c>
      <c r="D133" s="344" t="s">
        <v>461</v>
      </c>
      <c r="E133" s="344" t="s">
        <v>462</v>
      </c>
      <c r="F133" s="347" t="s">
        <v>463</v>
      </c>
      <c r="G133" s="344" t="s">
        <v>115</v>
      </c>
      <c r="H133" s="350">
        <v>1200</v>
      </c>
      <c r="I133" s="353" t="s">
        <v>6</v>
      </c>
      <c r="J133" s="356">
        <v>0.8</v>
      </c>
      <c r="K133" s="359" t="s">
        <v>143</v>
      </c>
      <c r="L133" s="356" t="s">
        <v>143</v>
      </c>
      <c r="M133" s="353" t="s">
        <v>7</v>
      </c>
      <c r="N133" s="356">
        <v>0.8</v>
      </c>
      <c r="O133" s="362" t="s">
        <v>76</v>
      </c>
      <c r="P133" s="124">
        <v>1</v>
      </c>
      <c r="Q133" s="178" t="s">
        <v>464</v>
      </c>
      <c r="R133" s="125" t="s">
        <v>4</v>
      </c>
      <c r="S133" s="170" t="s">
        <v>14</v>
      </c>
      <c r="T133" s="170" t="s">
        <v>9</v>
      </c>
      <c r="U133" s="127" t="s">
        <v>346</v>
      </c>
      <c r="V133" s="170" t="s">
        <v>19</v>
      </c>
      <c r="W133" s="170" t="s">
        <v>22</v>
      </c>
      <c r="X133" s="170" t="s">
        <v>111</v>
      </c>
      <c r="Y133" s="128">
        <f>IFERROR(IF(R133="Probabilidad",(J133-(+J133*U133)),IF(R133="Impacto",J133,"")),"")</f>
        <v>0.48</v>
      </c>
      <c r="Z133" s="129" t="s">
        <v>99</v>
      </c>
      <c r="AA133" s="130">
        <v>0.48</v>
      </c>
      <c r="AB133" s="129" t="s">
        <v>7</v>
      </c>
      <c r="AC133" s="130">
        <v>0.8</v>
      </c>
      <c r="AD133" s="131" t="s">
        <v>76</v>
      </c>
      <c r="AE133" s="183" t="s">
        <v>257</v>
      </c>
      <c r="AF133" s="184" t="s">
        <v>465</v>
      </c>
      <c r="AG133" s="171" t="s">
        <v>466</v>
      </c>
      <c r="AH133" s="171" t="s">
        <v>467</v>
      </c>
      <c r="AI133" s="171" t="s">
        <v>468</v>
      </c>
      <c r="AJ133" s="171" t="s">
        <v>469</v>
      </c>
      <c r="AK133" s="172">
        <v>44691</v>
      </c>
      <c r="AL133" s="172">
        <v>44926</v>
      </c>
      <c r="AM133" s="350">
        <v>4116</v>
      </c>
      <c r="AN133" s="350"/>
    </row>
    <row r="134" spans="1:40">
      <c r="A134" s="342"/>
      <c r="B134" s="345"/>
      <c r="C134" s="345"/>
      <c r="D134" s="345"/>
      <c r="E134" s="345"/>
      <c r="F134" s="348"/>
      <c r="G134" s="345"/>
      <c r="H134" s="351"/>
      <c r="I134" s="354"/>
      <c r="J134" s="357"/>
      <c r="K134" s="360"/>
      <c r="L134" s="357">
        <v>0</v>
      </c>
      <c r="M134" s="354"/>
      <c r="N134" s="357"/>
      <c r="O134" s="363"/>
      <c r="P134" s="124">
        <v>2</v>
      </c>
      <c r="Q134" s="178"/>
      <c r="R134" s="125" t="s">
        <v>361</v>
      </c>
      <c r="S134" s="170"/>
      <c r="T134" s="170"/>
      <c r="U134" s="127" t="s">
        <v>361</v>
      </c>
      <c r="V134" s="170"/>
      <c r="W134" s="170"/>
      <c r="X134" s="170"/>
      <c r="Y134" s="128" t="str">
        <f>IFERROR(IF(AND(R133="Probabilidad",R134="Probabilidad"),(AA133-(+AA133*U134)),IF(R134="Probabilidad",(J133-(+J133*U134)),IF(R134="Impacto",AA133,""))),"")</f>
        <v/>
      </c>
      <c r="Z134" s="129" t="s">
        <v>361</v>
      </c>
      <c r="AA134" s="130" t="s">
        <v>361</v>
      </c>
      <c r="AB134" s="129" t="s">
        <v>361</v>
      </c>
      <c r="AC134" s="130" t="s">
        <v>361</v>
      </c>
      <c r="AD134" s="131" t="s">
        <v>361</v>
      </c>
      <c r="AE134" s="183"/>
      <c r="AF134" s="184"/>
      <c r="AG134" s="175"/>
      <c r="AH134" s="175"/>
      <c r="AI134" s="175"/>
      <c r="AJ134" s="175"/>
      <c r="AK134" s="176"/>
      <c r="AL134" s="176"/>
      <c r="AM134" s="351"/>
      <c r="AN134" s="351"/>
    </row>
    <row r="135" spans="1:40">
      <c r="A135" s="342"/>
      <c r="B135" s="345"/>
      <c r="C135" s="345"/>
      <c r="D135" s="345"/>
      <c r="E135" s="345"/>
      <c r="F135" s="348"/>
      <c r="G135" s="345"/>
      <c r="H135" s="351"/>
      <c r="I135" s="354"/>
      <c r="J135" s="357"/>
      <c r="K135" s="360"/>
      <c r="L135" s="357">
        <v>0</v>
      </c>
      <c r="M135" s="354"/>
      <c r="N135" s="357"/>
      <c r="O135" s="363"/>
      <c r="P135" s="124">
        <v>3</v>
      </c>
      <c r="Q135" s="178"/>
      <c r="R135" s="125" t="s">
        <v>361</v>
      </c>
      <c r="S135" s="170"/>
      <c r="T135" s="170"/>
      <c r="U135" s="127" t="s">
        <v>361</v>
      </c>
      <c r="V135" s="170"/>
      <c r="W135" s="170"/>
      <c r="X135" s="170"/>
      <c r="Y135" s="128" t="str">
        <f>IFERROR(IF(AND(R134="Probabilidad",R135="Probabilidad"),(AA134-(+AA134*U135)),IF(AND(R134="Impacto",R135="Probabilidad"),(AA133-(+AA133*U135)),IF(R135="Impacto",AA134,""))),"")</f>
        <v/>
      </c>
      <c r="Z135" s="129" t="s">
        <v>361</v>
      </c>
      <c r="AA135" s="130" t="s">
        <v>361</v>
      </c>
      <c r="AB135" s="129" t="s">
        <v>361</v>
      </c>
      <c r="AC135" s="130" t="s">
        <v>361</v>
      </c>
      <c r="AD135" s="131" t="s">
        <v>361</v>
      </c>
      <c r="AE135" s="183"/>
      <c r="AF135" s="184"/>
      <c r="AG135" s="175"/>
      <c r="AH135" s="175"/>
      <c r="AI135" s="175"/>
      <c r="AJ135" s="175"/>
      <c r="AK135" s="176"/>
      <c r="AL135" s="176"/>
      <c r="AM135" s="351"/>
      <c r="AN135" s="351"/>
    </row>
    <row r="136" spans="1:40">
      <c r="A136" s="342"/>
      <c r="B136" s="345"/>
      <c r="C136" s="345"/>
      <c r="D136" s="345"/>
      <c r="E136" s="345"/>
      <c r="F136" s="348"/>
      <c r="G136" s="345"/>
      <c r="H136" s="351"/>
      <c r="I136" s="354"/>
      <c r="J136" s="357"/>
      <c r="K136" s="360"/>
      <c r="L136" s="357">
        <v>0</v>
      </c>
      <c r="M136" s="354"/>
      <c r="N136" s="357"/>
      <c r="O136" s="363"/>
      <c r="P136" s="124">
        <v>4</v>
      </c>
      <c r="Q136" s="178"/>
      <c r="R136" s="125" t="s">
        <v>361</v>
      </c>
      <c r="S136" s="170"/>
      <c r="T136" s="170"/>
      <c r="U136" s="127" t="s">
        <v>361</v>
      </c>
      <c r="V136" s="170"/>
      <c r="W136" s="170"/>
      <c r="X136" s="170"/>
      <c r="Y136" s="128" t="str">
        <f t="shared" ref="Y136:Y138" si="94">IFERROR(IF(AND(R135="Probabilidad",R136="Probabilidad"),(AA135-(+AA135*U136)),IF(AND(R135="Impacto",R136="Probabilidad"),(AA134-(+AA134*U136)),IF(R136="Impacto",AA135,""))),"")</f>
        <v/>
      </c>
      <c r="Z136" s="129" t="s">
        <v>361</v>
      </c>
      <c r="AA136" s="130" t="s">
        <v>361</v>
      </c>
      <c r="AB136" s="129" t="s">
        <v>361</v>
      </c>
      <c r="AC136" s="130" t="s">
        <v>361</v>
      </c>
      <c r="AD136" s="131" t="s">
        <v>361</v>
      </c>
      <c r="AE136" s="183"/>
      <c r="AF136" s="184"/>
      <c r="AG136" s="175"/>
      <c r="AH136" s="175"/>
      <c r="AI136" s="175"/>
      <c r="AJ136" s="175"/>
      <c r="AK136" s="176"/>
      <c r="AL136" s="176"/>
      <c r="AM136" s="351"/>
      <c r="AN136" s="351"/>
    </row>
    <row r="137" spans="1:40">
      <c r="A137" s="342"/>
      <c r="B137" s="345"/>
      <c r="C137" s="345"/>
      <c r="D137" s="345"/>
      <c r="E137" s="345"/>
      <c r="F137" s="348"/>
      <c r="G137" s="345"/>
      <c r="H137" s="351"/>
      <c r="I137" s="354"/>
      <c r="J137" s="357"/>
      <c r="K137" s="360"/>
      <c r="L137" s="357">
        <v>0</v>
      </c>
      <c r="M137" s="354"/>
      <c r="N137" s="357"/>
      <c r="O137" s="363"/>
      <c r="P137" s="124">
        <v>5</v>
      </c>
      <c r="Q137" s="178"/>
      <c r="R137" s="125" t="s">
        <v>361</v>
      </c>
      <c r="S137" s="170"/>
      <c r="T137" s="170"/>
      <c r="U137" s="127" t="s">
        <v>361</v>
      </c>
      <c r="V137" s="170"/>
      <c r="W137" s="170"/>
      <c r="X137" s="170"/>
      <c r="Y137" s="128" t="str">
        <f t="shared" si="94"/>
        <v/>
      </c>
      <c r="Z137" s="129" t="s">
        <v>361</v>
      </c>
      <c r="AA137" s="130" t="s">
        <v>361</v>
      </c>
      <c r="AB137" s="129" t="s">
        <v>361</v>
      </c>
      <c r="AC137" s="130" t="s">
        <v>361</v>
      </c>
      <c r="AD137" s="131" t="s">
        <v>361</v>
      </c>
      <c r="AE137" s="183"/>
      <c r="AF137" s="184"/>
      <c r="AG137" s="175"/>
      <c r="AH137" s="175"/>
      <c r="AI137" s="175"/>
      <c r="AJ137" s="175"/>
      <c r="AK137" s="176"/>
      <c r="AL137" s="176"/>
      <c r="AM137" s="351"/>
      <c r="AN137" s="351"/>
    </row>
    <row r="138" spans="1:40">
      <c r="A138" s="343"/>
      <c r="B138" s="346"/>
      <c r="C138" s="346"/>
      <c r="D138" s="346"/>
      <c r="E138" s="346"/>
      <c r="F138" s="349"/>
      <c r="G138" s="346"/>
      <c r="H138" s="352"/>
      <c r="I138" s="355"/>
      <c r="J138" s="358"/>
      <c r="K138" s="361"/>
      <c r="L138" s="358">
        <v>0</v>
      </c>
      <c r="M138" s="355"/>
      <c r="N138" s="358"/>
      <c r="O138" s="364"/>
      <c r="P138" s="124">
        <v>6</v>
      </c>
      <c r="Q138" s="178"/>
      <c r="R138" s="125" t="s">
        <v>361</v>
      </c>
      <c r="S138" s="170"/>
      <c r="T138" s="170"/>
      <c r="U138" s="127" t="s">
        <v>361</v>
      </c>
      <c r="V138" s="170"/>
      <c r="W138" s="170"/>
      <c r="X138" s="170"/>
      <c r="Y138" s="128" t="str">
        <f t="shared" si="94"/>
        <v/>
      </c>
      <c r="Z138" s="129" t="s">
        <v>361</v>
      </c>
      <c r="AA138" s="130" t="s">
        <v>361</v>
      </c>
      <c r="AB138" s="129" t="s">
        <v>361</v>
      </c>
      <c r="AC138" s="130" t="s">
        <v>361</v>
      </c>
      <c r="AD138" s="131" t="s">
        <v>361</v>
      </c>
      <c r="AE138" s="183"/>
      <c r="AF138" s="184"/>
      <c r="AG138" s="175"/>
      <c r="AH138" s="175"/>
      <c r="AI138" s="175"/>
      <c r="AJ138" s="175"/>
      <c r="AK138" s="176"/>
      <c r="AL138" s="176"/>
      <c r="AM138" s="352"/>
      <c r="AN138" s="352"/>
    </row>
    <row r="139" spans="1:40" ht="81">
      <c r="A139" s="341">
        <v>22</v>
      </c>
      <c r="B139" s="344" t="s">
        <v>213</v>
      </c>
      <c r="C139" s="344" t="s">
        <v>125</v>
      </c>
      <c r="D139" s="370" t="s">
        <v>470</v>
      </c>
      <c r="E139" s="370" t="s">
        <v>471</v>
      </c>
      <c r="F139" s="370" t="s">
        <v>472</v>
      </c>
      <c r="G139" s="344" t="s">
        <v>115</v>
      </c>
      <c r="H139" s="350">
        <v>48</v>
      </c>
      <c r="I139" s="353" t="s">
        <v>99</v>
      </c>
      <c r="J139" s="356">
        <v>0.6</v>
      </c>
      <c r="K139" s="373" t="s">
        <v>143</v>
      </c>
      <c r="L139" s="356" t="s">
        <v>143</v>
      </c>
      <c r="M139" s="353" t="s">
        <v>7</v>
      </c>
      <c r="N139" s="356">
        <v>0.8</v>
      </c>
      <c r="O139" s="362" t="s">
        <v>76</v>
      </c>
      <c r="P139" s="124">
        <v>1</v>
      </c>
      <c r="Q139" s="178" t="s">
        <v>473</v>
      </c>
      <c r="R139" s="125" t="s">
        <v>4</v>
      </c>
      <c r="S139" s="170" t="s">
        <v>14</v>
      </c>
      <c r="T139" s="170" t="s">
        <v>9</v>
      </c>
      <c r="U139" s="127" t="s">
        <v>346</v>
      </c>
      <c r="V139" s="170" t="s">
        <v>19</v>
      </c>
      <c r="W139" s="170" t="s">
        <v>22</v>
      </c>
      <c r="X139" s="170" t="s">
        <v>111</v>
      </c>
      <c r="Y139" s="128">
        <f>IFERROR(IF(R139="Probabilidad",(J139-(+J139*U139)),IF(R139="Impacto",J139,"")),"")</f>
        <v>0.36</v>
      </c>
      <c r="Z139" s="129" t="s">
        <v>49</v>
      </c>
      <c r="AA139" s="130">
        <v>0.36</v>
      </c>
      <c r="AB139" s="129" t="s">
        <v>7</v>
      </c>
      <c r="AC139" s="130">
        <v>0.8</v>
      </c>
      <c r="AD139" s="131" t="s">
        <v>76</v>
      </c>
      <c r="AE139" s="183" t="s">
        <v>257</v>
      </c>
      <c r="AF139" s="204" t="s">
        <v>474</v>
      </c>
      <c r="AG139" s="205" t="s">
        <v>475</v>
      </c>
      <c r="AH139" s="205" t="s">
        <v>476</v>
      </c>
      <c r="AI139" s="205" t="s">
        <v>477</v>
      </c>
      <c r="AJ139" s="205" t="s">
        <v>469</v>
      </c>
      <c r="AK139" s="206">
        <v>44680</v>
      </c>
      <c r="AL139" s="206">
        <v>44926</v>
      </c>
      <c r="AM139" s="350">
        <v>4115</v>
      </c>
      <c r="AN139" s="350"/>
    </row>
    <row r="140" spans="1:40">
      <c r="A140" s="342"/>
      <c r="B140" s="345"/>
      <c r="C140" s="345"/>
      <c r="D140" s="371"/>
      <c r="E140" s="371"/>
      <c r="F140" s="371"/>
      <c r="G140" s="345"/>
      <c r="H140" s="351"/>
      <c r="I140" s="354"/>
      <c r="J140" s="357"/>
      <c r="K140" s="374"/>
      <c r="L140" s="357">
        <v>0</v>
      </c>
      <c r="M140" s="354"/>
      <c r="N140" s="357"/>
      <c r="O140" s="363"/>
      <c r="P140" s="124">
        <v>2</v>
      </c>
      <c r="Q140" s="178"/>
      <c r="R140" s="125" t="s">
        <v>361</v>
      </c>
      <c r="S140" s="170"/>
      <c r="T140" s="170"/>
      <c r="U140" s="127" t="s">
        <v>361</v>
      </c>
      <c r="V140" s="170"/>
      <c r="W140" s="170"/>
      <c r="X140" s="170"/>
      <c r="Y140" s="128" t="str">
        <f>IFERROR(IF(AND(R139="Probabilidad",R140="Probabilidad"),(AA139-(+AA139*U140)),IF(R140="Probabilidad",(J139-(+J139*U140)),IF(R140="Impacto",AA139,""))),"")</f>
        <v/>
      </c>
      <c r="Z140" s="129" t="s">
        <v>361</v>
      </c>
      <c r="AA140" s="130" t="s">
        <v>361</v>
      </c>
      <c r="AB140" s="129" t="s">
        <v>361</v>
      </c>
      <c r="AC140" s="130" t="s">
        <v>361</v>
      </c>
      <c r="AD140" s="131" t="s">
        <v>361</v>
      </c>
      <c r="AE140" s="183"/>
      <c r="AF140" s="184"/>
      <c r="AG140" s="175"/>
      <c r="AH140" s="175"/>
      <c r="AI140" s="175"/>
      <c r="AJ140" s="175"/>
      <c r="AK140" s="176"/>
      <c r="AL140" s="176"/>
      <c r="AM140" s="351"/>
      <c r="AN140" s="351"/>
    </row>
    <row r="141" spans="1:40">
      <c r="A141" s="342"/>
      <c r="B141" s="345"/>
      <c r="C141" s="345"/>
      <c r="D141" s="371"/>
      <c r="E141" s="371"/>
      <c r="F141" s="371"/>
      <c r="G141" s="345"/>
      <c r="H141" s="351"/>
      <c r="I141" s="354"/>
      <c r="J141" s="357"/>
      <c r="K141" s="374"/>
      <c r="L141" s="357">
        <v>0</v>
      </c>
      <c r="M141" s="354"/>
      <c r="N141" s="357"/>
      <c r="O141" s="363"/>
      <c r="P141" s="124">
        <v>3</v>
      </c>
      <c r="Q141" s="179"/>
      <c r="R141" s="125" t="s">
        <v>361</v>
      </c>
      <c r="S141" s="170"/>
      <c r="T141" s="170"/>
      <c r="U141" s="127" t="s">
        <v>361</v>
      </c>
      <c r="V141" s="170"/>
      <c r="W141" s="170"/>
      <c r="X141" s="170"/>
      <c r="Y141" s="128" t="str">
        <f>IFERROR(IF(AND(R140="Probabilidad",R141="Probabilidad"),(AA140-(+AA140*U141)),IF(AND(R140="Impacto",R141="Probabilidad"),(AA139-(+AA139*U141)),IF(R141="Impacto",AA140,""))),"")</f>
        <v/>
      </c>
      <c r="Z141" s="129" t="s">
        <v>361</v>
      </c>
      <c r="AA141" s="130" t="s">
        <v>361</v>
      </c>
      <c r="AB141" s="129" t="s">
        <v>361</v>
      </c>
      <c r="AC141" s="130" t="s">
        <v>361</v>
      </c>
      <c r="AD141" s="131" t="s">
        <v>361</v>
      </c>
      <c r="AE141" s="183"/>
      <c r="AF141" s="184"/>
      <c r="AG141" s="175"/>
      <c r="AH141" s="175"/>
      <c r="AI141" s="175"/>
      <c r="AJ141" s="175"/>
      <c r="AK141" s="176"/>
      <c r="AL141" s="176"/>
      <c r="AM141" s="351"/>
      <c r="AN141" s="351"/>
    </row>
    <row r="142" spans="1:40">
      <c r="A142" s="342"/>
      <c r="B142" s="345"/>
      <c r="C142" s="345"/>
      <c r="D142" s="371"/>
      <c r="E142" s="371"/>
      <c r="F142" s="371"/>
      <c r="G142" s="345"/>
      <c r="H142" s="351"/>
      <c r="I142" s="354"/>
      <c r="J142" s="357"/>
      <c r="K142" s="374"/>
      <c r="L142" s="357">
        <v>0</v>
      </c>
      <c r="M142" s="354"/>
      <c r="N142" s="357"/>
      <c r="O142" s="363"/>
      <c r="P142" s="124">
        <v>4</v>
      </c>
      <c r="Q142" s="178"/>
      <c r="R142" s="125" t="s">
        <v>361</v>
      </c>
      <c r="S142" s="170"/>
      <c r="T142" s="170"/>
      <c r="U142" s="127" t="s">
        <v>361</v>
      </c>
      <c r="V142" s="170"/>
      <c r="W142" s="170"/>
      <c r="X142" s="170"/>
      <c r="Y142" s="128" t="str">
        <f t="shared" ref="Y142:Y144" si="95">IFERROR(IF(AND(R141="Probabilidad",R142="Probabilidad"),(AA141-(+AA141*U142)),IF(AND(R141="Impacto",R142="Probabilidad"),(AA140-(+AA140*U142)),IF(R142="Impacto",AA141,""))),"")</f>
        <v/>
      </c>
      <c r="Z142" s="129" t="s">
        <v>361</v>
      </c>
      <c r="AA142" s="130" t="s">
        <v>361</v>
      </c>
      <c r="AB142" s="129" t="s">
        <v>361</v>
      </c>
      <c r="AC142" s="130" t="s">
        <v>361</v>
      </c>
      <c r="AD142" s="131" t="s">
        <v>361</v>
      </c>
      <c r="AE142" s="183"/>
      <c r="AF142" s="184"/>
      <c r="AG142" s="175"/>
      <c r="AH142" s="175"/>
      <c r="AI142" s="175"/>
      <c r="AJ142" s="175"/>
      <c r="AK142" s="176"/>
      <c r="AL142" s="176"/>
      <c r="AM142" s="351"/>
      <c r="AN142" s="351"/>
    </row>
    <row r="143" spans="1:40">
      <c r="A143" s="342"/>
      <c r="B143" s="345"/>
      <c r="C143" s="345"/>
      <c r="D143" s="371"/>
      <c r="E143" s="371"/>
      <c r="F143" s="371"/>
      <c r="G143" s="345"/>
      <c r="H143" s="351"/>
      <c r="I143" s="354"/>
      <c r="J143" s="357"/>
      <c r="K143" s="374"/>
      <c r="L143" s="357">
        <v>0</v>
      </c>
      <c r="M143" s="354"/>
      <c r="N143" s="357"/>
      <c r="O143" s="363"/>
      <c r="P143" s="124">
        <v>5</v>
      </c>
      <c r="Q143" s="178"/>
      <c r="R143" s="125" t="s">
        <v>361</v>
      </c>
      <c r="S143" s="170"/>
      <c r="T143" s="170"/>
      <c r="U143" s="127" t="s">
        <v>361</v>
      </c>
      <c r="V143" s="170"/>
      <c r="W143" s="170"/>
      <c r="X143" s="170"/>
      <c r="Y143" s="128" t="str">
        <f t="shared" si="95"/>
        <v/>
      </c>
      <c r="Z143" s="129" t="s">
        <v>361</v>
      </c>
      <c r="AA143" s="130" t="s">
        <v>361</v>
      </c>
      <c r="AB143" s="129" t="s">
        <v>361</v>
      </c>
      <c r="AC143" s="130" t="s">
        <v>361</v>
      </c>
      <c r="AD143" s="131" t="s">
        <v>361</v>
      </c>
      <c r="AE143" s="183"/>
      <c r="AF143" s="184"/>
      <c r="AG143" s="175"/>
      <c r="AH143" s="175"/>
      <c r="AI143" s="175"/>
      <c r="AJ143" s="175"/>
      <c r="AK143" s="176"/>
      <c r="AL143" s="176"/>
      <c r="AM143" s="351"/>
      <c r="AN143" s="351"/>
    </row>
    <row r="144" spans="1:40">
      <c r="A144" s="343"/>
      <c r="B144" s="346"/>
      <c r="C144" s="346"/>
      <c r="D144" s="372"/>
      <c r="E144" s="372"/>
      <c r="F144" s="372"/>
      <c r="G144" s="346"/>
      <c r="H144" s="352"/>
      <c r="I144" s="355"/>
      <c r="J144" s="358"/>
      <c r="K144" s="375"/>
      <c r="L144" s="358">
        <v>0</v>
      </c>
      <c r="M144" s="355"/>
      <c r="N144" s="358"/>
      <c r="O144" s="364"/>
      <c r="P144" s="124">
        <v>6</v>
      </c>
      <c r="Q144" s="178"/>
      <c r="R144" s="125" t="s">
        <v>361</v>
      </c>
      <c r="S144" s="170"/>
      <c r="T144" s="170"/>
      <c r="U144" s="127" t="s">
        <v>361</v>
      </c>
      <c r="V144" s="170"/>
      <c r="W144" s="170"/>
      <c r="X144" s="170"/>
      <c r="Y144" s="128" t="str">
        <f t="shared" si="95"/>
        <v/>
      </c>
      <c r="Z144" s="129" t="s">
        <v>361</v>
      </c>
      <c r="AA144" s="130" t="s">
        <v>361</v>
      </c>
      <c r="AB144" s="129" t="s">
        <v>361</v>
      </c>
      <c r="AC144" s="130" t="s">
        <v>361</v>
      </c>
      <c r="AD144" s="131" t="s">
        <v>361</v>
      </c>
      <c r="AE144" s="183"/>
      <c r="AF144" s="184"/>
      <c r="AG144" s="175"/>
      <c r="AH144" s="175"/>
      <c r="AI144" s="175"/>
      <c r="AJ144" s="175"/>
      <c r="AK144" s="176"/>
      <c r="AL144" s="176"/>
      <c r="AM144" s="352"/>
      <c r="AN144" s="352"/>
    </row>
    <row r="145" spans="1:40" ht="121.5">
      <c r="A145" s="341">
        <v>23</v>
      </c>
      <c r="B145" s="344" t="s">
        <v>213</v>
      </c>
      <c r="C145" s="344" t="s">
        <v>125</v>
      </c>
      <c r="D145" s="344" t="s">
        <v>478</v>
      </c>
      <c r="E145" s="344" t="s">
        <v>479</v>
      </c>
      <c r="F145" s="347" t="s">
        <v>480</v>
      </c>
      <c r="G145" s="344" t="s">
        <v>115</v>
      </c>
      <c r="H145" s="350">
        <v>365</v>
      </c>
      <c r="I145" s="353" t="s">
        <v>99</v>
      </c>
      <c r="J145" s="356">
        <v>0.6</v>
      </c>
      <c r="K145" s="359" t="s">
        <v>143</v>
      </c>
      <c r="L145" s="356" t="s">
        <v>143</v>
      </c>
      <c r="M145" s="353" t="s">
        <v>7</v>
      </c>
      <c r="N145" s="356">
        <v>0.8</v>
      </c>
      <c r="O145" s="362" t="s">
        <v>76</v>
      </c>
      <c r="P145" s="124">
        <v>1</v>
      </c>
      <c r="Q145" s="178" t="s">
        <v>481</v>
      </c>
      <c r="R145" s="125" t="s">
        <v>4</v>
      </c>
      <c r="S145" s="170" t="s">
        <v>15</v>
      </c>
      <c r="T145" s="170" t="s">
        <v>9</v>
      </c>
      <c r="U145" s="127" t="s">
        <v>352</v>
      </c>
      <c r="V145" s="170" t="s">
        <v>19</v>
      </c>
      <c r="W145" s="170" t="s">
        <v>22</v>
      </c>
      <c r="X145" s="170" t="s">
        <v>111</v>
      </c>
      <c r="Y145" s="128">
        <f>IFERROR(IF(R145="Probabilidad",(J145-(+J145*U145)),IF(R145="Impacto",J145,"")),"")</f>
        <v>0.42</v>
      </c>
      <c r="Z145" s="129" t="s">
        <v>99</v>
      </c>
      <c r="AA145" s="130">
        <v>0.42</v>
      </c>
      <c r="AB145" s="129" t="s">
        <v>7</v>
      </c>
      <c r="AC145" s="130">
        <v>0.8</v>
      </c>
      <c r="AD145" s="131" t="s">
        <v>76</v>
      </c>
      <c r="AE145" s="183" t="s">
        <v>257</v>
      </c>
      <c r="AF145" s="184" t="s">
        <v>482</v>
      </c>
      <c r="AG145" s="207" t="s">
        <v>483</v>
      </c>
      <c r="AH145" s="171" t="s">
        <v>378</v>
      </c>
      <c r="AI145" s="171" t="s">
        <v>484</v>
      </c>
      <c r="AJ145" s="175" t="s">
        <v>485</v>
      </c>
      <c r="AK145" s="172">
        <v>44686</v>
      </c>
      <c r="AL145" s="172">
        <v>44926</v>
      </c>
      <c r="AM145" s="350">
        <v>4112</v>
      </c>
      <c r="AN145" s="350"/>
    </row>
    <row r="146" spans="1:40">
      <c r="A146" s="342"/>
      <c r="B146" s="345"/>
      <c r="C146" s="345"/>
      <c r="D146" s="345"/>
      <c r="E146" s="345"/>
      <c r="F146" s="348"/>
      <c r="G146" s="345"/>
      <c r="H146" s="351"/>
      <c r="I146" s="354"/>
      <c r="J146" s="357"/>
      <c r="K146" s="360"/>
      <c r="L146" s="357">
        <v>0</v>
      </c>
      <c r="M146" s="354"/>
      <c r="N146" s="357"/>
      <c r="O146" s="363"/>
      <c r="P146" s="124">
        <v>2</v>
      </c>
      <c r="Q146" s="178"/>
      <c r="R146" s="125" t="s">
        <v>361</v>
      </c>
      <c r="S146" s="170"/>
      <c r="T146" s="170"/>
      <c r="U146" s="127" t="s">
        <v>361</v>
      </c>
      <c r="V146" s="170"/>
      <c r="W146" s="170"/>
      <c r="X146" s="170"/>
      <c r="Y146" s="128" t="str">
        <f>IFERROR(IF(AND(R145="Probabilidad",R146="Probabilidad"),(AA145-(+AA145*U146)),IF(R146="Probabilidad",(J145-(+J145*U146)),IF(R146="Impacto",AA145,""))),"")</f>
        <v/>
      </c>
      <c r="Z146" s="129" t="s">
        <v>361</v>
      </c>
      <c r="AA146" s="130" t="s">
        <v>361</v>
      </c>
      <c r="AB146" s="129" t="s">
        <v>361</v>
      </c>
      <c r="AC146" s="130" t="s">
        <v>361</v>
      </c>
      <c r="AD146" s="131" t="s">
        <v>361</v>
      </c>
      <c r="AE146" s="183"/>
      <c r="AF146" s="184"/>
      <c r="AG146" s="175"/>
      <c r="AH146" s="175"/>
      <c r="AI146" s="175"/>
      <c r="AJ146" s="175"/>
      <c r="AK146" s="176"/>
      <c r="AL146" s="176"/>
      <c r="AM146" s="351"/>
      <c r="AN146" s="351"/>
    </row>
    <row r="147" spans="1:40">
      <c r="A147" s="342"/>
      <c r="B147" s="345"/>
      <c r="C147" s="345"/>
      <c r="D147" s="345"/>
      <c r="E147" s="345"/>
      <c r="F147" s="348"/>
      <c r="G147" s="345"/>
      <c r="H147" s="351"/>
      <c r="I147" s="354"/>
      <c r="J147" s="357"/>
      <c r="K147" s="360"/>
      <c r="L147" s="357">
        <v>0</v>
      </c>
      <c r="M147" s="354"/>
      <c r="N147" s="357"/>
      <c r="O147" s="363"/>
      <c r="P147" s="124">
        <v>3</v>
      </c>
      <c r="Q147" s="179"/>
      <c r="R147" s="125" t="s">
        <v>361</v>
      </c>
      <c r="S147" s="170"/>
      <c r="T147" s="170"/>
      <c r="U147" s="127" t="s">
        <v>361</v>
      </c>
      <c r="V147" s="170"/>
      <c r="W147" s="170"/>
      <c r="X147" s="170"/>
      <c r="Y147" s="128" t="str">
        <f>IFERROR(IF(AND(R146="Probabilidad",R147="Probabilidad"),(AA146-(+AA146*U147)),IF(AND(R146="Impacto",R147="Probabilidad"),(AA145-(+AA145*U147)),IF(R147="Impacto",AA146,""))),"")</f>
        <v/>
      </c>
      <c r="Z147" s="129" t="s">
        <v>361</v>
      </c>
      <c r="AA147" s="130" t="s">
        <v>361</v>
      </c>
      <c r="AB147" s="129" t="s">
        <v>361</v>
      </c>
      <c r="AC147" s="130" t="s">
        <v>361</v>
      </c>
      <c r="AD147" s="131" t="s">
        <v>361</v>
      </c>
      <c r="AE147" s="183"/>
      <c r="AF147" s="184"/>
      <c r="AG147" s="175"/>
      <c r="AH147" s="175"/>
      <c r="AI147" s="175"/>
      <c r="AJ147" s="175"/>
      <c r="AK147" s="176"/>
      <c r="AL147" s="176"/>
      <c r="AM147" s="351"/>
      <c r="AN147" s="351"/>
    </row>
    <row r="148" spans="1:40">
      <c r="A148" s="342"/>
      <c r="B148" s="345"/>
      <c r="C148" s="345"/>
      <c r="D148" s="345"/>
      <c r="E148" s="345"/>
      <c r="F148" s="348"/>
      <c r="G148" s="345"/>
      <c r="H148" s="351"/>
      <c r="I148" s="354"/>
      <c r="J148" s="357"/>
      <c r="K148" s="360"/>
      <c r="L148" s="357">
        <v>0</v>
      </c>
      <c r="M148" s="354"/>
      <c r="N148" s="357"/>
      <c r="O148" s="363"/>
      <c r="P148" s="124">
        <v>4</v>
      </c>
      <c r="Q148" s="178"/>
      <c r="R148" s="125" t="s">
        <v>361</v>
      </c>
      <c r="S148" s="170"/>
      <c r="T148" s="170"/>
      <c r="U148" s="127" t="s">
        <v>361</v>
      </c>
      <c r="V148" s="170"/>
      <c r="W148" s="170"/>
      <c r="X148" s="170"/>
      <c r="Y148" s="128" t="str">
        <f t="shared" ref="Y148:Y150" si="96">IFERROR(IF(AND(R147="Probabilidad",R148="Probabilidad"),(AA147-(+AA147*U148)),IF(AND(R147="Impacto",R148="Probabilidad"),(AA146-(+AA146*U148)),IF(R148="Impacto",AA147,""))),"")</f>
        <v/>
      </c>
      <c r="Z148" s="129" t="s">
        <v>361</v>
      </c>
      <c r="AA148" s="130" t="s">
        <v>361</v>
      </c>
      <c r="AB148" s="129" t="s">
        <v>361</v>
      </c>
      <c r="AC148" s="130" t="s">
        <v>361</v>
      </c>
      <c r="AD148" s="131" t="s">
        <v>361</v>
      </c>
      <c r="AE148" s="183"/>
      <c r="AF148" s="184"/>
      <c r="AG148" s="175"/>
      <c r="AH148" s="175"/>
      <c r="AI148" s="175"/>
      <c r="AJ148" s="175"/>
      <c r="AK148" s="176"/>
      <c r="AL148" s="176"/>
      <c r="AM148" s="351"/>
      <c r="AN148" s="351"/>
    </row>
    <row r="149" spans="1:40">
      <c r="A149" s="342"/>
      <c r="B149" s="345"/>
      <c r="C149" s="345"/>
      <c r="D149" s="345"/>
      <c r="E149" s="345"/>
      <c r="F149" s="348"/>
      <c r="G149" s="345"/>
      <c r="H149" s="351"/>
      <c r="I149" s="354"/>
      <c r="J149" s="357"/>
      <c r="K149" s="360"/>
      <c r="L149" s="357">
        <v>0</v>
      </c>
      <c r="M149" s="354"/>
      <c r="N149" s="357"/>
      <c r="O149" s="363"/>
      <c r="P149" s="124">
        <v>5</v>
      </c>
      <c r="Q149" s="178"/>
      <c r="R149" s="125" t="s">
        <v>361</v>
      </c>
      <c r="S149" s="170"/>
      <c r="T149" s="170"/>
      <c r="U149" s="127" t="s">
        <v>361</v>
      </c>
      <c r="V149" s="170"/>
      <c r="W149" s="170"/>
      <c r="X149" s="170"/>
      <c r="Y149" s="128" t="str">
        <f t="shared" si="96"/>
        <v/>
      </c>
      <c r="Z149" s="129" t="s">
        <v>361</v>
      </c>
      <c r="AA149" s="130" t="s">
        <v>361</v>
      </c>
      <c r="AB149" s="129" t="s">
        <v>361</v>
      </c>
      <c r="AC149" s="130" t="s">
        <v>361</v>
      </c>
      <c r="AD149" s="131" t="s">
        <v>361</v>
      </c>
      <c r="AE149" s="183"/>
      <c r="AF149" s="184"/>
      <c r="AG149" s="175"/>
      <c r="AH149" s="175"/>
      <c r="AI149" s="175"/>
      <c r="AJ149" s="175"/>
      <c r="AK149" s="176"/>
      <c r="AL149" s="176"/>
      <c r="AM149" s="351"/>
      <c r="AN149" s="351"/>
    </row>
    <row r="150" spans="1:40">
      <c r="A150" s="343"/>
      <c r="B150" s="346"/>
      <c r="C150" s="346"/>
      <c r="D150" s="346"/>
      <c r="E150" s="346"/>
      <c r="F150" s="349"/>
      <c r="G150" s="346"/>
      <c r="H150" s="352"/>
      <c r="I150" s="355"/>
      <c r="J150" s="358"/>
      <c r="K150" s="361"/>
      <c r="L150" s="358">
        <v>0</v>
      </c>
      <c r="M150" s="355"/>
      <c r="N150" s="358"/>
      <c r="O150" s="364"/>
      <c r="P150" s="124">
        <v>6</v>
      </c>
      <c r="Q150" s="178"/>
      <c r="R150" s="125" t="s">
        <v>361</v>
      </c>
      <c r="S150" s="170"/>
      <c r="T150" s="170"/>
      <c r="U150" s="127" t="s">
        <v>361</v>
      </c>
      <c r="V150" s="170"/>
      <c r="W150" s="170"/>
      <c r="X150" s="170"/>
      <c r="Y150" s="128" t="str">
        <f t="shared" si="96"/>
        <v/>
      </c>
      <c r="Z150" s="129" t="s">
        <v>361</v>
      </c>
      <c r="AA150" s="130" t="s">
        <v>361</v>
      </c>
      <c r="AB150" s="129" t="s">
        <v>361</v>
      </c>
      <c r="AC150" s="130" t="s">
        <v>361</v>
      </c>
      <c r="AD150" s="131" t="s">
        <v>361</v>
      </c>
      <c r="AE150" s="183"/>
      <c r="AF150" s="184"/>
      <c r="AG150" s="175"/>
      <c r="AH150" s="175"/>
      <c r="AI150" s="175"/>
      <c r="AJ150" s="175"/>
      <c r="AK150" s="176"/>
      <c r="AL150" s="176"/>
      <c r="AM150" s="352"/>
      <c r="AN150" s="352"/>
    </row>
    <row r="151" spans="1:40" ht="81">
      <c r="A151" s="341">
        <v>24</v>
      </c>
      <c r="B151" s="344" t="s">
        <v>210</v>
      </c>
      <c r="C151" s="344" t="s">
        <v>125</v>
      </c>
      <c r="D151" s="344" t="s">
        <v>486</v>
      </c>
      <c r="E151" s="344" t="s">
        <v>487</v>
      </c>
      <c r="F151" s="347" t="s">
        <v>488</v>
      </c>
      <c r="G151" s="344" t="s">
        <v>120</v>
      </c>
      <c r="H151" s="350">
        <v>40</v>
      </c>
      <c r="I151" s="353" t="s">
        <v>99</v>
      </c>
      <c r="J151" s="356">
        <v>0.6</v>
      </c>
      <c r="K151" s="359" t="s">
        <v>143</v>
      </c>
      <c r="L151" s="356" t="s">
        <v>143</v>
      </c>
      <c r="M151" s="353" t="s">
        <v>7</v>
      </c>
      <c r="N151" s="356">
        <v>0.8</v>
      </c>
      <c r="O151" s="362" t="s">
        <v>76</v>
      </c>
      <c r="P151" s="124">
        <v>1</v>
      </c>
      <c r="Q151" s="178" t="s">
        <v>489</v>
      </c>
      <c r="R151" s="125" t="s">
        <v>4</v>
      </c>
      <c r="S151" s="170" t="s">
        <v>14</v>
      </c>
      <c r="T151" s="170" t="s">
        <v>9</v>
      </c>
      <c r="U151" s="127" t="s">
        <v>346</v>
      </c>
      <c r="V151" s="170" t="s">
        <v>20</v>
      </c>
      <c r="W151" s="170" t="s">
        <v>22</v>
      </c>
      <c r="X151" s="170" t="s">
        <v>111</v>
      </c>
      <c r="Y151" s="128">
        <f>IFERROR(IF(R151="Probabilidad",(J151-(+J151*U151)),IF(R151="Impacto",J151,"")),"")</f>
        <v>0.36</v>
      </c>
      <c r="Z151" s="129" t="s">
        <v>49</v>
      </c>
      <c r="AA151" s="130">
        <v>0.36</v>
      </c>
      <c r="AB151" s="129" t="s">
        <v>7</v>
      </c>
      <c r="AC151" s="130">
        <v>0.8</v>
      </c>
      <c r="AD151" s="131" t="s">
        <v>76</v>
      </c>
      <c r="AE151" s="183" t="s">
        <v>257</v>
      </c>
      <c r="AF151" s="184" t="s">
        <v>490</v>
      </c>
      <c r="AG151" s="171" t="s">
        <v>491</v>
      </c>
      <c r="AH151" s="208" t="s">
        <v>492</v>
      </c>
      <c r="AI151" s="208" t="s">
        <v>493</v>
      </c>
      <c r="AJ151" s="171" t="s">
        <v>491</v>
      </c>
      <c r="AK151" s="172"/>
      <c r="AL151" s="172" t="s">
        <v>494</v>
      </c>
      <c r="AM151" s="344" t="s">
        <v>495</v>
      </c>
    </row>
    <row r="152" spans="1:40">
      <c r="A152" s="342"/>
      <c r="B152" s="345"/>
      <c r="C152" s="345"/>
      <c r="D152" s="345"/>
      <c r="E152" s="345"/>
      <c r="F152" s="348"/>
      <c r="G152" s="345"/>
      <c r="H152" s="351"/>
      <c r="I152" s="354"/>
      <c r="J152" s="357"/>
      <c r="K152" s="360"/>
      <c r="L152" s="357">
        <v>0</v>
      </c>
      <c r="M152" s="354"/>
      <c r="N152" s="357"/>
      <c r="O152" s="363"/>
      <c r="P152" s="124">
        <v>2</v>
      </c>
      <c r="Q152" s="178"/>
      <c r="R152" s="125" t="s">
        <v>361</v>
      </c>
      <c r="S152" s="170"/>
      <c r="T152" s="170"/>
      <c r="U152" s="127" t="s">
        <v>361</v>
      </c>
      <c r="V152" s="170"/>
      <c r="W152" s="170"/>
      <c r="X152" s="170"/>
      <c r="Y152" s="128" t="str">
        <f>IFERROR(IF(AND(R151="Probabilidad",R152="Probabilidad"),(AA151-(+AA151*U152)),IF(R152="Probabilidad",(J151-(+J151*U152)),IF(R152="Impacto",AA151,""))),"")</f>
        <v/>
      </c>
      <c r="Z152" s="129" t="s">
        <v>361</v>
      </c>
      <c r="AA152" s="130" t="s">
        <v>361</v>
      </c>
      <c r="AB152" s="129" t="s">
        <v>361</v>
      </c>
      <c r="AC152" s="130" t="s">
        <v>361</v>
      </c>
      <c r="AD152" s="131" t="s">
        <v>361</v>
      </c>
      <c r="AE152" s="183"/>
      <c r="AF152" s="184"/>
      <c r="AG152" s="175"/>
      <c r="AH152" s="175"/>
      <c r="AI152" s="175"/>
      <c r="AJ152" s="175"/>
      <c r="AK152" s="176"/>
      <c r="AL152" s="176"/>
      <c r="AM152" s="351"/>
    </row>
    <row r="153" spans="1:40">
      <c r="A153" s="342"/>
      <c r="B153" s="345"/>
      <c r="C153" s="345"/>
      <c r="D153" s="345"/>
      <c r="E153" s="345"/>
      <c r="F153" s="348"/>
      <c r="G153" s="345"/>
      <c r="H153" s="351"/>
      <c r="I153" s="354"/>
      <c r="J153" s="357"/>
      <c r="K153" s="360"/>
      <c r="L153" s="357">
        <v>0</v>
      </c>
      <c r="M153" s="354"/>
      <c r="N153" s="357"/>
      <c r="O153" s="363"/>
      <c r="P153" s="124">
        <v>3</v>
      </c>
      <c r="Q153" s="178"/>
      <c r="R153" s="125" t="s">
        <v>361</v>
      </c>
      <c r="S153" s="170"/>
      <c r="T153" s="170"/>
      <c r="U153" s="127" t="s">
        <v>361</v>
      </c>
      <c r="V153" s="170"/>
      <c r="W153" s="170"/>
      <c r="X153" s="170"/>
      <c r="Y153" s="128" t="str">
        <f>IFERROR(IF(AND(R152="Probabilidad",R153="Probabilidad"),(AA152-(+AA152*U153)),IF(AND(R152="Impacto",R153="Probabilidad"),(AA151-(+AA151*U153)),IF(R153="Impacto",AA152,""))),"")</f>
        <v/>
      </c>
      <c r="Z153" s="129" t="s">
        <v>361</v>
      </c>
      <c r="AA153" s="130" t="s">
        <v>361</v>
      </c>
      <c r="AB153" s="129" t="s">
        <v>361</v>
      </c>
      <c r="AC153" s="130" t="s">
        <v>361</v>
      </c>
      <c r="AD153" s="131" t="s">
        <v>361</v>
      </c>
      <c r="AE153" s="183"/>
      <c r="AF153" s="184"/>
      <c r="AG153" s="175"/>
      <c r="AH153" s="175"/>
      <c r="AI153" s="175"/>
      <c r="AJ153" s="175"/>
      <c r="AK153" s="176"/>
      <c r="AL153" s="176"/>
      <c r="AM153" s="351"/>
    </row>
    <row r="154" spans="1:40">
      <c r="A154" s="342"/>
      <c r="B154" s="345"/>
      <c r="C154" s="345"/>
      <c r="D154" s="345"/>
      <c r="E154" s="345"/>
      <c r="F154" s="348"/>
      <c r="G154" s="345"/>
      <c r="H154" s="351"/>
      <c r="I154" s="354"/>
      <c r="J154" s="357"/>
      <c r="K154" s="360"/>
      <c r="L154" s="357">
        <v>0</v>
      </c>
      <c r="M154" s="354"/>
      <c r="N154" s="357"/>
      <c r="O154" s="363"/>
      <c r="P154" s="124">
        <v>4</v>
      </c>
      <c r="Q154" s="178"/>
      <c r="R154" s="125" t="s">
        <v>361</v>
      </c>
      <c r="S154" s="170"/>
      <c r="T154" s="170"/>
      <c r="U154" s="127" t="s">
        <v>361</v>
      </c>
      <c r="V154" s="170"/>
      <c r="W154" s="170"/>
      <c r="X154" s="170"/>
      <c r="Y154" s="128" t="str">
        <f t="shared" ref="Y154:Y156" si="97">IFERROR(IF(AND(R153="Probabilidad",R154="Probabilidad"),(AA153-(+AA153*U154)),IF(AND(R153="Impacto",R154="Probabilidad"),(AA152-(+AA152*U154)),IF(R154="Impacto",AA153,""))),"")</f>
        <v/>
      </c>
      <c r="Z154" s="129" t="s">
        <v>361</v>
      </c>
      <c r="AA154" s="130" t="s">
        <v>361</v>
      </c>
      <c r="AB154" s="129" t="s">
        <v>361</v>
      </c>
      <c r="AC154" s="130" t="s">
        <v>361</v>
      </c>
      <c r="AD154" s="131" t="s">
        <v>361</v>
      </c>
      <c r="AE154" s="183"/>
      <c r="AF154" s="184"/>
      <c r="AG154" s="175"/>
      <c r="AH154" s="175"/>
      <c r="AI154" s="175"/>
      <c r="AJ154" s="175"/>
      <c r="AK154" s="176"/>
      <c r="AL154" s="176"/>
      <c r="AM154" s="351"/>
    </row>
    <row r="155" spans="1:40">
      <c r="A155" s="342"/>
      <c r="B155" s="345"/>
      <c r="C155" s="345"/>
      <c r="D155" s="345"/>
      <c r="E155" s="345"/>
      <c r="F155" s="348"/>
      <c r="G155" s="345"/>
      <c r="H155" s="351"/>
      <c r="I155" s="354"/>
      <c r="J155" s="357"/>
      <c r="K155" s="360"/>
      <c r="L155" s="357">
        <v>0</v>
      </c>
      <c r="M155" s="354"/>
      <c r="N155" s="357"/>
      <c r="O155" s="363"/>
      <c r="P155" s="124">
        <v>5</v>
      </c>
      <c r="Q155" s="178"/>
      <c r="R155" s="125" t="s">
        <v>361</v>
      </c>
      <c r="S155" s="170"/>
      <c r="T155" s="170"/>
      <c r="U155" s="127" t="s">
        <v>361</v>
      </c>
      <c r="V155" s="170"/>
      <c r="W155" s="170"/>
      <c r="X155" s="170"/>
      <c r="Y155" s="128" t="str">
        <f t="shared" si="97"/>
        <v/>
      </c>
      <c r="Z155" s="129" t="s">
        <v>361</v>
      </c>
      <c r="AA155" s="130" t="s">
        <v>361</v>
      </c>
      <c r="AB155" s="129" t="s">
        <v>361</v>
      </c>
      <c r="AC155" s="130" t="s">
        <v>361</v>
      </c>
      <c r="AD155" s="131" t="s">
        <v>361</v>
      </c>
      <c r="AE155" s="183"/>
      <c r="AF155" s="184"/>
      <c r="AG155" s="175"/>
      <c r="AH155" s="175"/>
      <c r="AI155" s="175"/>
      <c r="AJ155" s="175"/>
      <c r="AK155" s="176"/>
      <c r="AL155" s="176"/>
      <c r="AM155" s="351"/>
    </row>
    <row r="156" spans="1:40">
      <c r="A156" s="343"/>
      <c r="B156" s="346"/>
      <c r="C156" s="346"/>
      <c r="D156" s="346"/>
      <c r="E156" s="346"/>
      <c r="F156" s="349"/>
      <c r="G156" s="346"/>
      <c r="H156" s="352"/>
      <c r="I156" s="355"/>
      <c r="J156" s="358"/>
      <c r="K156" s="361"/>
      <c r="L156" s="358">
        <v>0</v>
      </c>
      <c r="M156" s="355"/>
      <c r="N156" s="358"/>
      <c r="O156" s="364"/>
      <c r="P156" s="124">
        <v>6</v>
      </c>
      <c r="Q156" s="178"/>
      <c r="R156" s="125" t="s">
        <v>361</v>
      </c>
      <c r="S156" s="170"/>
      <c r="T156" s="170"/>
      <c r="U156" s="127" t="s">
        <v>361</v>
      </c>
      <c r="V156" s="170"/>
      <c r="W156" s="170"/>
      <c r="X156" s="170"/>
      <c r="Y156" s="128" t="str">
        <f t="shared" si="97"/>
        <v/>
      </c>
      <c r="Z156" s="129" t="s">
        <v>361</v>
      </c>
      <c r="AA156" s="130" t="s">
        <v>361</v>
      </c>
      <c r="AB156" s="129" t="s">
        <v>361</v>
      </c>
      <c r="AC156" s="130" t="s">
        <v>361</v>
      </c>
      <c r="AD156" s="131" t="s">
        <v>361</v>
      </c>
      <c r="AE156" s="183"/>
      <c r="AF156" s="184"/>
      <c r="AG156" s="175"/>
      <c r="AH156" s="175"/>
      <c r="AI156" s="175"/>
      <c r="AJ156" s="175"/>
      <c r="AK156" s="176"/>
      <c r="AL156" s="176"/>
      <c r="AM156" s="352"/>
    </row>
    <row r="157" spans="1:40" ht="67.5">
      <c r="A157" s="341">
        <v>25</v>
      </c>
      <c r="B157" s="344" t="s">
        <v>210</v>
      </c>
      <c r="C157" s="344" t="s">
        <v>125</v>
      </c>
      <c r="D157" s="344" t="s">
        <v>496</v>
      </c>
      <c r="E157" s="344" t="s">
        <v>497</v>
      </c>
      <c r="F157" s="347" t="s">
        <v>498</v>
      </c>
      <c r="G157" s="344" t="s">
        <v>120</v>
      </c>
      <c r="H157" s="350">
        <v>40</v>
      </c>
      <c r="I157" s="353" t="s">
        <v>99</v>
      </c>
      <c r="J157" s="356">
        <v>0.6</v>
      </c>
      <c r="K157" s="359" t="s">
        <v>143</v>
      </c>
      <c r="L157" s="356" t="s">
        <v>143</v>
      </c>
      <c r="M157" s="353" t="s">
        <v>7</v>
      </c>
      <c r="N157" s="356">
        <v>0.8</v>
      </c>
      <c r="O157" s="362" t="s">
        <v>76</v>
      </c>
      <c r="P157" s="124">
        <v>1</v>
      </c>
      <c r="Q157" s="178" t="s">
        <v>499</v>
      </c>
      <c r="R157" s="125" t="s">
        <v>4</v>
      </c>
      <c r="S157" s="170" t="s">
        <v>14</v>
      </c>
      <c r="T157" s="170" t="s">
        <v>9</v>
      </c>
      <c r="U157" s="127" t="s">
        <v>346</v>
      </c>
      <c r="V157" s="170" t="s">
        <v>19</v>
      </c>
      <c r="W157" s="170" t="s">
        <v>22</v>
      </c>
      <c r="X157" s="170" t="s">
        <v>111</v>
      </c>
      <c r="Y157" s="128">
        <f>IFERROR(IF(R157="Probabilidad",(J157-(+J157*U157)),IF(R157="Impacto",J157,"")),"")</f>
        <v>0.36</v>
      </c>
      <c r="Z157" s="129" t="s">
        <v>49</v>
      </c>
      <c r="AA157" s="130">
        <v>0.36</v>
      </c>
      <c r="AB157" s="129" t="s">
        <v>7</v>
      </c>
      <c r="AC157" s="130">
        <v>0.8</v>
      </c>
      <c r="AD157" s="131" t="s">
        <v>76</v>
      </c>
      <c r="AE157" s="183" t="s">
        <v>257</v>
      </c>
      <c r="AF157" s="208" t="s">
        <v>500</v>
      </c>
      <c r="AG157" s="208" t="s">
        <v>501</v>
      </c>
      <c r="AH157" s="208" t="s">
        <v>502</v>
      </c>
      <c r="AI157" s="208" t="s">
        <v>503</v>
      </c>
      <c r="AJ157" s="171" t="s">
        <v>504</v>
      </c>
      <c r="AK157" s="172"/>
      <c r="AL157" s="172" t="s">
        <v>494</v>
      </c>
      <c r="AM157" s="344" t="s">
        <v>505</v>
      </c>
    </row>
    <row r="158" spans="1:40" ht="67.5">
      <c r="A158" s="342"/>
      <c r="B158" s="345"/>
      <c r="C158" s="345"/>
      <c r="D158" s="345"/>
      <c r="E158" s="345"/>
      <c r="F158" s="348"/>
      <c r="G158" s="345"/>
      <c r="H158" s="351"/>
      <c r="I158" s="354"/>
      <c r="J158" s="357"/>
      <c r="K158" s="360"/>
      <c r="L158" s="357">
        <v>0</v>
      </c>
      <c r="M158" s="354"/>
      <c r="N158" s="357"/>
      <c r="O158" s="363"/>
      <c r="P158" s="124">
        <v>2</v>
      </c>
      <c r="Q158" s="178" t="s">
        <v>499</v>
      </c>
      <c r="R158" s="125" t="s">
        <v>4</v>
      </c>
      <c r="S158" s="170" t="s">
        <v>14</v>
      </c>
      <c r="T158" s="170" t="s">
        <v>9</v>
      </c>
      <c r="U158" s="127" t="s">
        <v>346</v>
      </c>
      <c r="V158" s="170" t="s">
        <v>19</v>
      </c>
      <c r="W158" s="170" t="s">
        <v>22</v>
      </c>
      <c r="X158" s="170" t="s">
        <v>111</v>
      </c>
      <c r="Y158" s="128">
        <f>IFERROR(IF(AND(R157="Probabilidad",R158="Probabilidad"),(AA157-(+AA157*U158)),IF(R158="Probabilidad",(J157-(+J157*U158)),IF(R158="Impacto",AA157,""))),"")</f>
        <v>0.216</v>
      </c>
      <c r="Z158" s="129" t="s">
        <v>49</v>
      </c>
      <c r="AA158" s="130">
        <v>0.216</v>
      </c>
      <c r="AB158" s="129" t="s">
        <v>7</v>
      </c>
      <c r="AC158" s="130">
        <v>0.8</v>
      </c>
      <c r="AD158" s="131" t="s">
        <v>76</v>
      </c>
      <c r="AE158" s="183" t="s">
        <v>257</v>
      </c>
      <c r="AF158" s="184" t="s">
        <v>506</v>
      </c>
      <c r="AG158" s="208" t="s">
        <v>501</v>
      </c>
      <c r="AH158" s="208" t="s">
        <v>502</v>
      </c>
      <c r="AI158" s="208" t="s">
        <v>503</v>
      </c>
      <c r="AJ158" s="171" t="s">
        <v>504</v>
      </c>
      <c r="AK158" s="176"/>
      <c r="AL158" s="172" t="s">
        <v>494</v>
      </c>
      <c r="AM158" s="351"/>
    </row>
    <row r="159" spans="1:40" ht="68.25">
      <c r="A159" s="342"/>
      <c r="B159" s="345"/>
      <c r="C159" s="345"/>
      <c r="D159" s="345"/>
      <c r="E159" s="345"/>
      <c r="F159" s="348"/>
      <c r="G159" s="345"/>
      <c r="H159" s="351"/>
      <c r="I159" s="354"/>
      <c r="J159" s="357"/>
      <c r="K159" s="360"/>
      <c r="L159" s="357">
        <v>0</v>
      </c>
      <c r="M159" s="354"/>
      <c r="N159" s="357"/>
      <c r="O159" s="363"/>
      <c r="P159" s="124">
        <v>3</v>
      </c>
      <c r="Q159" s="209" t="s">
        <v>507</v>
      </c>
      <c r="R159" s="125" t="s">
        <v>2</v>
      </c>
      <c r="S159" s="170" t="s">
        <v>16</v>
      </c>
      <c r="T159" s="170" t="s">
        <v>9</v>
      </c>
      <c r="U159" s="127" t="s">
        <v>359</v>
      </c>
      <c r="V159" s="170" t="s">
        <v>19</v>
      </c>
      <c r="W159" s="170" t="s">
        <v>23</v>
      </c>
      <c r="X159" s="170" t="s">
        <v>111</v>
      </c>
      <c r="Y159" s="128">
        <f>IFERROR(IF(AND(R158="Probabilidad",R159="Probabilidad"),(AA158-(+AA158*U159)),IF(AND(R158="Impacto",R159="Probabilidad"),(AA157-(+AA157*U159)),IF(R159="Impacto",AA158,""))),"")</f>
        <v>0.216</v>
      </c>
      <c r="Z159" s="129" t="s">
        <v>49</v>
      </c>
      <c r="AA159" s="130">
        <v>0.216</v>
      </c>
      <c r="AB159" s="129" t="s">
        <v>77</v>
      </c>
      <c r="AC159" s="130">
        <v>0.60000000000000009</v>
      </c>
      <c r="AD159" s="131" t="s">
        <v>77</v>
      </c>
      <c r="AE159" s="183" t="s">
        <v>257</v>
      </c>
      <c r="AF159" s="184" t="s">
        <v>508</v>
      </c>
      <c r="AG159" s="208" t="s">
        <v>501</v>
      </c>
      <c r="AH159" s="208" t="s">
        <v>502</v>
      </c>
      <c r="AI159" s="208" t="s">
        <v>503</v>
      </c>
      <c r="AJ159" s="171" t="s">
        <v>504</v>
      </c>
      <c r="AK159" s="176"/>
      <c r="AL159" s="172" t="s">
        <v>494</v>
      </c>
      <c r="AM159" s="351"/>
    </row>
    <row r="160" spans="1:40" ht="67.5">
      <c r="A160" s="342"/>
      <c r="B160" s="345"/>
      <c r="C160" s="345"/>
      <c r="D160" s="345"/>
      <c r="E160" s="345"/>
      <c r="F160" s="348"/>
      <c r="G160" s="345"/>
      <c r="H160" s="351"/>
      <c r="I160" s="354"/>
      <c r="J160" s="357"/>
      <c r="K160" s="360"/>
      <c r="L160" s="357">
        <v>0</v>
      </c>
      <c r="M160" s="354"/>
      <c r="N160" s="357"/>
      <c r="O160" s="363"/>
      <c r="P160" s="124">
        <v>4</v>
      </c>
      <c r="Q160" s="178" t="s">
        <v>509</v>
      </c>
      <c r="R160" s="125" t="s">
        <v>4</v>
      </c>
      <c r="S160" s="170" t="s">
        <v>15</v>
      </c>
      <c r="T160" s="170" t="s">
        <v>9</v>
      </c>
      <c r="U160" s="127" t="s">
        <v>352</v>
      </c>
      <c r="V160" s="170" t="s">
        <v>19</v>
      </c>
      <c r="W160" s="170" t="s">
        <v>22</v>
      </c>
      <c r="X160" s="170" t="s">
        <v>111</v>
      </c>
      <c r="Y160" s="128">
        <f t="shared" ref="Y160:Y162" si="98">IFERROR(IF(AND(R159="Probabilidad",R160="Probabilidad"),(AA159-(+AA159*U160)),IF(AND(R159="Impacto",R160="Probabilidad"),(AA158-(+AA158*U160)),IF(R160="Impacto",AA159,""))),"")</f>
        <v>0.1512</v>
      </c>
      <c r="Z160" s="129" t="s">
        <v>47</v>
      </c>
      <c r="AA160" s="130">
        <v>0.1512</v>
      </c>
      <c r="AB160" s="129" t="s">
        <v>77</v>
      </c>
      <c r="AC160" s="130">
        <v>0.60000000000000009</v>
      </c>
      <c r="AD160" s="131" t="s">
        <v>77</v>
      </c>
      <c r="AE160" s="183" t="s">
        <v>257</v>
      </c>
      <c r="AF160" s="184" t="s">
        <v>510</v>
      </c>
      <c r="AG160" s="208" t="s">
        <v>501</v>
      </c>
      <c r="AH160" s="208" t="s">
        <v>502</v>
      </c>
      <c r="AI160" s="208" t="s">
        <v>503</v>
      </c>
      <c r="AJ160" s="171" t="s">
        <v>504</v>
      </c>
      <c r="AK160" s="176"/>
      <c r="AL160" s="172" t="s">
        <v>494</v>
      </c>
      <c r="AM160" s="351"/>
    </row>
    <row r="161" spans="1:39">
      <c r="A161" s="342"/>
      <c r="B161" s="345"/>
      <c r="C161" s="345"/>
      <c r="D161" s="345"/>
      <c r="E161" s="345"/>
      <c r="F161" s="348"/>
      <c r="G161" s="345"/>
      <c r="H161" s="351"/>
      <c r="I161" s="354"/>
      <c r="J161" s="357"/>
      <c r="K161" s="360"/>
      <c r="L161" s="357">
        <v>0</v>
      </c>
      <c r="M161" s="354"/>
      <c r="N161" s="357"/>
      <c r="O161" s="363"/>
      <c r="P161" s="124">
        <v>5</v>
      </c>
      <c r="Q161" s="178"/>
      <c r="R161" s="125" t="s">
        <v>361</v>
      </c>
      <c r="S161" s="170"/>
      <c r="T161" s="170"/>
      <c r="U161" s="127" t="s">
        <v>361</v>
      </c>
      <c r="V161" s="170"/>
      <c r="W161" s="170"/>
      <c r="X161" s="170"/>
      <c r="Y161" s="128" t="str">
        <f t="shared" si="98"/>
        <v/>
      </c>
      <c r="Z161" s="129" t="s">
        <v>361</v>
      </c>
      <c r="AA161" s="130" t="s">
        <v>361</v>
      </c>
      <c r="AB161" s="129" t="s">
        <v>361</v>
      </c>
      <c r="AC161" s="130" t="s">
        <v>361</v>
      </c>
      <c r="AD161" s="131" t="s">
        <v>361</v>
      </c>
      <c r="AE161" s="183"/>
      <c r="AF161" s="184"/>
      <c r="AG161" s="175"/>
      <c r="AH161" s="175"/>
      <c r="AI161" s="175"/>
      <c r="AJ161" s="175"/>
      <c r="AK161" s="176"/>
      <c r="AL161" s="176"/>
      <c r="AM161" s="351"/>
    </row>
    <row r="162" spans="1:39">
      <c r="A162" s="343"/>
      <c r="B162" s="346"/>
      <c r="C162" s="346"/>
      <c r="D162" s="346"/>
      <c r="E162" s="346"/>
      <c r="F162" s="349"/>
      <c r="G162" s="346"/>
      <c r="H162" s="352"/>
      <c r="I162" s="355"/>
      <c r="J162" s="358"/>
      <c r="K162" s="361"/>
      <c r="L162" s="358">
        <v>0</v>
      </c>
      <c r="M162" s="355"/>
      <c r="N162" s="358"/>
      <c r="O162" s="364"/>
      <c r="P162" s="124">
        <v>6</v>
      </c>
      <c r="Q162" s="178"/>
      <c r="R162" s="125" t="s">
        <v>361</v>
      </c>
      <c r="S162" s="170"/>
      <c r="T162" s="170"/>
      <c r="U162" s="127" t="s">
        <v>361</v>
      </c>
      <c r="V162" s="170"/>
      <c r="W162" s="170"/>
      <c r="X162" s="170"/>
      <c r="Y162" s="128" t="str">
        <f t="shared" si="98"/>
        <v/>
      </c>
      <c r="Z162" s="129" t="s">
        <v>361</v>
      </c>
      <c r="AA162" s="130" t="s">
        <v>361</v>
      </c>
      <c r="AB162" s="129" t="s">
        <v>361</v>
      </c>
      <c r="AC162" s="130" t="s">
        <v>361</v>
      </c>
      <c r="AD162" s="131" t="s">
        <v>361</v>
      </c>
      <c r="AE162" s="183"/>
      <c r="AF162" s="184"/>
      <c r="AG162" s="175"/>
      <c r="AH162" s="175"/>
      <c r="AI162" s="175"/>
      <c r="AJ162" s="175"/>
      <c r="AK162" s="176"/>
      <c r="AL162" s="176"/>
      <c r="AM162" s="352"/>
    </row>
    <row r="163" spans="1:39" ht="67.5">
      <c r="A163" s="341">
        <v>26</v>
      </c>
      <c r="B163" s="344" t="s">
        <v>210</v>
      </c>
      <c r="C163" s="344" t="s">
        <v>123</v>
      </c>
      <c r="D163" s="344" t="s">
        <v>511</v>
      </c>
      <c r="E163" s="344" t="s">
        <v>512</v>
      </c>
      <c r="F163" s="347" t="s">
        <v>513</v>
      </c>
      <c r="G163" s="344" t="s">
        <v>120</v>
      </c>
      <c r="H163" s="350">
        <v>2</v>
      </c>
      <c r="I163" s="353" t="s">
        <v>47</v>
      </c>
      <c r="J163" s="356">
        <v>0.2</v>
      </c>
      <c r="K163" s="359" t="s">
        <v>137</v>
      </c>
      <c r="L163" s="356" t="s">
        <v>137</v>
      </c>
      <c r="M163" s="353" t="s">
        <v>80</v>
      </c>
      <c r="N163" s="356">
        <v>0.4</v>
      </c>
      <c r="O163" s="362" t="s">
        <v>78</v>
      </c>
      <c r="P163" s="124">
        <v>1</v>
      </c>
      <c r="Q163" s="178" t="s">
        <v>514</v>
      </c>
      <c r="R163" s="125" t="s">
        <v>4</v>
      </c>
      <c r="S163" s="170" t="s">
        <v>14</v>
      </c>
      <c r="T163" s="170" t="s">
        <v>9</v>
      </c>
      <c r="U163" s="127" t="s">
        <v>346</v>
      </c>
      <c r="V163" s="170" t="s">
        <v>20</v>
      </c>
      <c r="W163" s="170" t="s">
        <v>22</v>
      </c>
      <c r="X163" s="170" t="s">
        <v>111</v>
      </c>
      <c r="Y163" s="128">
        <f>IFERROR(IF(R163="Probabilidad",(J163-(+J163*U163)),IF(R163="Impacto",J163,"")),"")</f>
        <v>0.12</v>
      </c>
      <c r="Z163" s="129" t="s">
        <v>47</v>
      </c>
      <c r="AA163" s="130">
        <v>0.12</v>
      </c>
      <c r="AB163" s="129" t="s">
        <v>80</v>
      </c>
      <c r="AC163" s="130">
        <v>0.4</v>
      </c>
      <c r="AD163" s="131" t="s">
        <v>78</v>
      </c>
      <c r="AE163" s="183" t="s">
        <v>257</v>
      </c>
      <c r="AF163" s="208" t="s">
        <v>515</v>
      </c>
      <c r="AG163" s="208" t="s">
        <v>516</v>
      </c>
      <c r="AH163" s="208" t="s">
        <v>517</v>
      </c>
      <c r="AI163" s="208" t="s">
        <v>518</v>
      </c>
      <c r="AJ163" s="208" t="s">
        <v>516</v>
      </c>
      <c r="AK163" s="172"/>
      <c r="AL163" s="172" t="s">
        <v>494</v>
      </c>
      <c r="AM163" s="344" t="s">
        <v>519</v>
      </c>
    </row>
    <row r="164" spans="1:39" ht="55.5">
      <c r="A164" s="342"/>
      <c r="B164" s="345"/>
      <c r="C164" s="345"/>
      <c r="D164" s="345"/>
      <c r="E164" s="345"/>
      <c r="F164" s="348"/>
      <c r="G164" s="345"/>
      <c r="H164" s="351"/>
      <c r="I164" s="354"/>
      <c r="J164" s="357"/>
      <c r="K164" s="360"/>
      <c r="L164" s="357">
        <v>0</v>
      </c>
      <c r="M164" s="354"/>
      <c r="N164" s="357"/>
      <c r="O164" s="363"/>
      <c r="P164" s="124">
        <v>2</v>
      </c>
      <c r="Q164" s="178" t="s">
        <v>520</v>
      </c>
      <c r="R164" s="125" t="s">
        <v>2</v>
      </c>
      <c r="S164" s="170" t="s">
        <v>16</v>
      </c>
      <c r="T164" s="170" t="s">
        <v>9</v>
      </c>
      <c r="U164" s="127" t="s">
        <v>359</v>
      </c>
      <c r="V164" s="170" t="s">
        <v>20</v>
      </c>
      <c r="W164" s="170" t="s">
        <v>22</v>
      </c>
      <c r="X164" s="170" t="s">
        <v>111</v>
      </c>
      <c r="Y164" s="128">
        <f>IFERROR(IF(AND(R163="Probabilidad",R164="Probabilidad"),(AA163-(+AA163*U164)),IF(R164="Probabilidad",(J163-(+J163*U164)),IF(R164="Impacto",AA163,""))),"")</f>
        <v>0.12</v>
      </c>
      <c r="Z164" s="129" t="s">
        <v>47</v>
      </c>
      <c r="AA164" s="130">
        <v>0.12</v>
      </c>
      <c r="AB164" s="129" t="s">
        <v>80</v>
      </c>
      <c r="AC164" s="130">
        <v>0.30000000000000004</v>
      </c>
      <c r="AD164" s="131" t="s">
        <v>78</v>
      </c>
      <c r="AE164" s="183" t="s">
        <v>257</v>
      </c>
      <c r="AF164" s="208" t="s">
        <v>521</v>
      </c>
      <c r="AG164" s="208" t="s">
        <v>516</v>
      </c>
      <c r="AH164" s="208" t="s">
        <v>517</v>
      </c>
      <c r="AI164" s="208" t="s">
        <v>518</v>
      </c>
      <c r="AJ164" s="208" t="s">
        <v>516</v>
      </c>
      <c r="AK164" s="172"/>
      <c r="AL164" s="172" t="s">
        <v>494</v>
      </c>
      <c r="AM164" s="351"/>
    </row>
    <row r="165" spans="1:39" ht="81">
      <c r="A165" s="342"/>
      <c r="B165" s="345"/>
      <c r="C165" s="345"/>
      <c r="D165" s="345"/>
      <c r="E165" s="345"/>
      <c r="F165" s="348"/>
      <c r="G165" s="345"/>
      <c r="H165" s="351"/>
      <c r="I165" s="354"/>
      <c r="J165" s="357"/>
      <c r="K165" s="360"/>
      <c r="L165" s="357">
        <v>0</v>
      </c>
      <c r="M165" s="354"/>
      <c r="N165" s="357"/>
      <c r="O165" s="363"/>
      <c r="P165" s="124">
        <v>3</v>
      </c>
      <c r="Q165" s="178" t="s">
        <v>522</v>
      </c>
      <c r="R165" s="125" t="s">
        <v>4</v>
      </c>
      <c r="S165" s="170" t="s">
        <v>14</v>
      </c>
      <c r="T165" s="170" t="s">
        <v>9</v>
      </c>
      <c r="U165" s="127" t="s">
        <v>346</v>
      </c>
      <c r="V165" s="170" t="s">
        <v>19</v>
      </c>
      <c r="W165" s="170" t="s">
        <v>22</v>
      </c>
      <c r="X165" s="170" t="s">
        <v>111</v>
      </c>
      <c r="Y165" s="128">
        <f>IFERROR(IF(AND(R164="Probabilidad",R165="Probabilidad"),(AA164-(+AA164*U165)),IF(AND(R164="Impacto",R165="Probabilidad"),(AA163-(+AA163*U165)),IF(R165="Impacto",AA164,""))),"")</f>
        <v>7.1999999999999995E-2</v>
      </c>
      <c r="Z165" s="129" t="s">
        <v>47</v>
      </c>
      <c r="AA165" s="130">
        <v>7.1999999999999995E-2</v>
      </c>
      <c r="AB165" s="129" t="s">
        <v>80</v>
      </c>
      <c r="AC165" s="130">
        <v>0.30000000000000004</v>
      </c>
      <c r="AD165" s="131" t="s">
        <v>78</v>
      </c>
      <c r="AE165" s="183" t="s">
        <v>257</v>
      </c>
      <c r="AF165" s="184" t="s">
        <v>523</v>
      </c>
      <c r="AG165" s="208" t="s">
        <v>516</v>
      </c>
      <c r="AH165" s="208" t="s">
        <v>517</v>
      </c>
      <c r="AI165" s="208" t="s">
        <v>518</v>
      </c>
      <c r="AJ165" s="208" t="s">
        <v>516</v>
      </c>
      <c r="AK165" s="176"/>
      <c r="AL165" s="172" t="s">
        <v>494</v>
      </c>
      <c r="AM165" s="351"/>
    </row>
    <row r="166" spans="1:39">
      <c r="A166" s="342"/>
      <c r="B166" s="345"/>
      <c r="C166" s="345"/>
      <c r="D166" s="345"/>
      <c r="E166" s="345"/>
      <c r="F166" s="348"/>
      <c r="G166" s="345"/>
      <c r="H166" s="351"/>
      <c r="I166" s="354"/>
      <c r="J166" s="357"/>
      <c r="K166" s="360"/>
      <c r="L166" s="357">
        <v>0</v>
      </c>
      <c r="M166" s="354"/>
      <c r="N166" s="357"/>
      <c r="O166" s="363"/>
      <c r="P166" s="124">
        <v>4</v>
      </c>
      <c r="Q166" s="178"/>
      <c r="R166" s="125" t="s">
        <v>361</v>
      </c>
      <c r="S166" s="170"/>
      <c r="T166" s="170"/>
      <c r="U166" s="127" t="s">
        <v>361</v>
      </c>
      <c r="V166" s="170"/>
      <c r="W166" s="170"/>
      <c r="X166" s="170"/>
      <c r="Y166" s="128" t="str">
        <f t="shared" ref="Y166:Y168" si="99">IFERROR(IF(AND(R165="Probabilidad",R166="Probabilidad"),(AA165-(+AA165*U166)),IF(AND(R165="Impacto",R166="Probabilidad"),(AA164-(+AA164*U166)),IF(R166="Impacto",AA165,""))),"")</f>
        <v/>
      </c>
      <c r="Z166" s="129" t="s">
        <v>361</v>
      </c>
      <c r="AA166" s="130" t="s">
        <v>361</v>
      </c>
      <c r="AB166" s="129" t="s">
        <v>361</v>
      </c>
      <c r="AC166" s="130" t="s">
        <v>361</v>
      </c>
      <c r="AD166" s="131" t="s">
        <v>361</v>
      </c>
      <c r="AE166" s="183"/>
      <c r="AF166" s="184"/>
      <c r="AG166" s="175"/>
      <c r="AH166" s="175"/>
      <c r="AI166" s="175"/>
      <c r="AJ166" s="175"/>
      <c r="AK166" s="176"/>
      <c r="AL166" s="176"/>
      <c r="AM166" s="351"/>
    </row>
    <row r="167" spans="1:39">
      <c r="A167" s="342"/>
      <c r="B167" s="345"/>
      <c r="C167" s="345"/>
      <c r="D167" s="345"/>
      <c r="E167" s="345"/>
      <c r="F167" s="348"/>
      <c r="G167" s="345"/>
      <c r="H167" s="351"/>
      <c r="I167" s="354"/>
      <c r="J167" s="357"/>
      <c r="K167" s="360"/>
      <c r="L167" s="357">
        <v>0</v>
      </c>
      <c r="M167" s="354"/>
      <c r="N167" s="357"/>
      <c r="O167" s="363"/>
      <c r="P167" s="124">
        <v>5</v>
      </c>
      <c r="Q167" s="178"/>
      <c r="R167" s="125" t="s">
        <v>361</v>
      </c>
      <c r="S167" s="170"/>
      <c r="T167" s="170"/>
      <c r="U167" s="127" t="s">
        <v>361</v>
      </c>
      <c r="V167" s="170"/>
      <c r="W167" s="170"/>
      <c r="X167" s="170"/>
      <c r="Y167" s="128" t="str">
        <f t="shared" si="99"/>
        <v/>
      </c>
      <c r="Z167" s="129" t="s">
        <v>361</v>
      </c>
      <c r="AA167" s="130" t="s">
        <v>361</v>
      </c>
      <c r="AB167" s="129" t="s">
        <v>361</v>
      </c>
      <c r="AC167" s="130" t="s">
        <v>361</v>
      </c>
      <c r="AD167" s="131" t="s">
        <v>361</v>
      </c>
      <c r="AE167" s="183"/>
      <c r="AF167" s="184"/>
      <c r="AG167" s="175"/>
      <c r="AH167" s="175"/>
      <c r="AI167" s="175"/>
      <c r="AJ167" s="175"/>
      <c r="AK167" s="176"/>
      <c r="AL167" s="176"/>
      <c r="AM167" s="351"/>
    </row>
    <row r="168" spans="1:39">
      <c r="A168" s="343"/>
      <c r="B168" s="346"/>
      <c r="C168" s="346"/>
      <c r="D168" s="346"/>
      <c r="E168" s="346"/>
      <c r="F168" s="349"/>
      <c r="G168" s="346"/>
      <c r="H168" s="352"/>
      <c r="I168" s="355"/>
      <c r="J168" s="358"/>
      <c r="K168" s="361"/>
      <c r="L168" s="358">
        <v>0</v>
      </c>
      <c r="M168" s="355"/>
      <c r="N168" s="358"/>
      <c r="O168" s="364"/>
      <c r="P168" s="124">
        <v>6</v>
      </c>
      <c r="Q168" s="178"/>
      <c r="R168" s="125" t="s">
        <v>361</v>
      </c>
      <c r="S168" s="170"/>
      <c r="T168" s="170"/>
      <c r="U168" s="127" t="s">
        <v>361</v>
      </c>
      <c r="V168" s="170"/>
      <c r="W168" s="170"/>
      <c r="X168" s="170"/>
      <c r="Y168" s="128" t="str">
        <f t="shared" si="99"/>
        <v/>
      </c>
      <c r="Z168" s="129" t="s">
        <v>361</v>
      </c>
      <c r="AA168" s="130" t="s">
        <v>361</v>
      </c>
      <c r="AB168" s="129" t="s">
        <v>361</v>
      </c>
      <c r="AC168" s="130" t="s">
        <v>361</v>
      </c>
      <c r="AD168" s="131" t="s">
        <v>361</v>
      </c>
      <c r="AE168" s="183"/>
      <c r="AF168" s="184"/>
      <c r="AG168" s="175"/>
      <c r="AH168" s="175"/>
      <c r="AI168" s="175"/>
      <c r="AJ168" s="175"/>
      <c r="AK168" s="176"/>
      <c r="AL168" s="176"/>
      <c r="AM168" s="352"/>
    </row>
    <row r="169" spans="1:39" ht="55.5">
      <c r="A169" s="341">
        <v>27</v>
      </c>
      <c r="B169" s="344" t="s">
        <v>210</v>
      </c>
      <c r="C169" s="344" t="s">
        <v>123</v>
      </c>
      <c r="D169" s="344" t="s">
        <v>524</v>
      </c>
      <c r="E169" s="344" t="s">
        <v>525</v>
      </c>
      <c r="F169" s="347" t="s">
        <v>526</v>
      </c>
      <c r="G169" s="344" t="s">
        <v>115</v>
      </c>
      <c r="H169" s="350">
        <v>40</v>
      </c>
      <c r="I169" s="353" t="s">
        <v>99</v>
      </c>
      <c r="J169" s="356">
        <v>0.6</v>
      </c>
      <c r="K169" s="359" t="s">
        <v>142</v>
      </c>
      <c r="L169" s="356" t="s">
        <v>142</v>
      </c>
      <c r="M169" s="353" t="s">
        <v>77</v>
      </c>
      <c r="N169" s="356">
        <v>0.6</v>
      </c>
      <c r="O169" s="362" t="s">
        <v>77</v>
      </c>
      <c r="P169" s="124">
        <v>1</v>
      </c>
      <c r="Q169" s="178" t="s">
        <v>527</v>
      </c>
      <c r="R169" s="125" t="s">
        <v>4</v>
      </c>
      <c r="S169" s="170" t="s">
        <v>14</v>
      </c>
      <c r="T169" s="170" t="s">
        <v>9</v>
      </c>
      <c r="U169" s="127" t="s">
        <v>346</v>
      </c>
      <c r="V169" s="170" t="s">
        <v>20</v>
      </c>
      <c r="W169" s="170" t="s">
        <v>22</v>
      </c>
      <c r="X169" s="170" t="s">
        <v>111</v>
      </c>
      <c r="Y169" s="128">
        <f>IFERROR(IF(R169="Probabilidad",(J169-(+J169*U169)),IF(R169="Impacto",J169,"")),"")</f>
        <v>0.36</v>
      </c>
      <c r="Z169" s="129" t="s">
        <v>49</v>
      </c>
      <c r="AA169" s="130">
        <v>0.36</v>
      </c>
      <c r="AB169" s="129" t="s">
        <v>77</v>
      </c>
      <c r="AC169" s="130">
        <v>0.6</v>
      </c>
      <c r="AD169" s="131" t="s">
        <v>77</v>
      </c>
      <c r="AE169" s="183" t="s">
        <v>257</v>
      </c>
      <c r="AF169" s="208" t="s">
        <v>528</v>
      </c>
      <c r="AG169" s="208" t="s">
        <v>529</v>
      </c>
      <c r="AH169" s="208" t="s">
        <v>530</v>
      </c>
      <c r="AI169" s="171" t="s">
        <v>531</v>
      </c>
      <c r="AJ169" s="171" t="s">
        <v>532</v>
      </c>
      <c r="AK169" s="172"/>
      <c r="AL169" s="172" t="s">
        <v>433</v>
      </c>
      <c r="AM169" s="344" t="s">
        <v>533</v>
      </c>
    </row>
    <row r="170" spans="1:39" ht="68.25">
      <c r="A170" s="342"/>
      <c r="B170" s="345"/>
      <c r="C170" s="345"/>
      <c r="D170" s="345"/>
      <c r="E170" s="345"/>
      <c r="F170" s="348"/>
      <c r="G170" s="345"/>
      <c r="H170" s="351"/>
      <c r="I170" s="354"/>
      <c r="J170" s="357"/>
      <c r="K170" s="360"/>
      <c r="L170" s="357">
        <v>0</v>
      </c>
      <c r="M170" s="354"/>
      <c r="N170" s="357"/>
      <c r="O170" s="363"/>
      <c r="P170" s="124">
        <v>2</v>
      </c>
      <c r="Q170" s="178" t="s">
        <v>534</v>
      </c>
      <c r="R170" s="125" t="s">
        <v>4</v>
      </c>
      <c r="S170" s="170" t="s">
        <v>14</v>
      </c>
      <c r="T170" s="170" t="s">
        <v>9</v>
      </c>
      <c r="U170" s="127" t="s">
        <v>346</v>
      </c>
      <c r="V170" s="170" t="s">
        <v>20</v>
      </c>
      <c r="W170" s="170" t="s">
        <v>22</v>
      </c>
      <c r="X170" s="170" t="s">
        <v>111</v>
      </c>
      <c r="Y170" s="128">
        <f>IFERROR(IF(AND(R169="Probabilidad",R170="Probabilidad"),(AA169-(+AA169*U170)),IF(R170="Probabilidad",(J169-(+J169*U170)),IF(R170="Impacto",AA169,""))),"")</f>
        <v>0.216</v>
      </c>
      <c r="Z170" s="129" t="s">
        <v>49</v>
      </c>
      <c r="AA170" s="130">
        <v>0.216</v>
      </c>
      <c r="AB170" s="129" t="s">
        <v>77</v>
      </c>
      <c r="AC170" s="130">
        <v>0.6</v>
      </c>
      <c r="AD170" s="131" t="s">
        <v>77</v>
      </c>
      <c r="AE170" s="183" t="s">
        <v>257</v>
      </c>
      <c r="AF170" s="208" t="s">
        <v>535</v>
      </c>
      <c r="AG170" s="208" t="s">
        <v>529</v>
      </c>
      <c r="AH170" s="208" t="s">
        <v>377</v>
      </c>
      <c r="AI170" s="171" t="s">
        <v>531</v>
      </c>
      <c r="AJ170" s="171" t="s">
        <v>532</v>
      </c>
      <c r="AK170" s="172"/>
      <c r="AL170" s="172" t="s">
        <v>433</v>
      </c>
      <c r="AM170" s="351"/>
    </row>
    <row r="171" spans="1:39" ht="55.5">
      <c r="A171" s="342"/>
      <c r="B171" s="345"/>
      <c r="C171" s="345"/>
      <c r="D171" s="345"/>
      <c r="E171" s="345"/>
      <c r="F171" s="348"/>
      <c r="G171" s="345"/>
      <c r="H171" s="351"/>
      <c r="I171" s="354"/>
      <c r="J171" s="357"/>
      <c r="K171" s="360"/>
      <c r="L171" s="357">
        <v>0</v>
      </c>
      <c r="M171" s="354"/>
      <c r="N171" s="357"/>
      <c r="O171" s="363"/>
      <c r="P171" s="124">
        <v>3</v>
      </c>
      <c r="Q171" s="179" t="s">
        <v>536</v>
      </c>
      <c r="R171" s="125" t="s">
        <v>4</v>
      </c>
      <c r="S171" s="170" t="s">
        <v>14</v>
      </c>
      <c r="T171" s="170" t="s">
        <v>9</v>
      </c>
      <c r="U171" s="127" t="s">
        <v>346</v>
      </c>
      <c r="V171" s="170" t="s">
        <v>20</v>
      </c>
      <c r="W171" s="170" t="s">
        <v>22</v>
      </c>
      <c r="X171" s="170" t="s">
        <v>111</v>
      </c>
      <c r="Y171" s="128">
        <f>IFERROR(IF(AND(R170="Probabilidad",R171="Probabilidad"),(AA170-(+AA170*U171)),IF(AND(R170="Impacto",R171="Probabilidad"),(AA169-(+AA169*U171)),IF(R171="Impacto",AA170,""))),"")</f>
        <v>0.12959999999999999</v>
      </c>
      <c r="Z171" s="129" t="s">
        <v>47</v>
      </c>
      <c r="AA171" s="130">
        <v>0.12959999999999999</v>
      </c>
      <c r="AB171" s="129" t="s">
        <v>77</v>
      </c>
      <c r="AC171" s="130">
        <v>0.6</v>
      </c>
      <c r="AD171" s="131" t="s">
        <v>77</v>
      </c>
      <c r="AE171" s="183" t="s">
        <v>257</v>
      </c>
      <c r="AF171" s="208" t="s">
        <v>537</v>
      </c>
      <c r="AG171" s="208" t="s">
        <v>529</v>
      </c>
      <c r="AH171" s="208" t="s">
        <v>538</v>
      </c>
      <c r="AI171" s="171" t="s">
        <v>531</v>
      </c>
      <c r="AJ171" s="171" t="s">
        <v>532</v>
      </c>
      <c r="AK171" s="172"/>
      <c r="AL171" s="172" t="s">
        <v>433</v>
      </c>
      <c r="AM171" s="351"/>
    </row>
    <row r="172" spans="1:39" ht="55.5">
      <c r="A172" s="342"/>
      <c r="B172" s="345"/>
      <c r="C172" s="345"/>
      <c r="D172" s="345"/>
      <c r="E172" s="345"/>
      <c r="F172" s="348"/>
      <c r="G172" s="345"/>
      <c r="H172" s="351"/>
      <c r="I172" s="354"/>
      <c r="J172" s="357"/>
      <c r="K172" s="360"/>
      <c r="L172" s="357">
        <v>0</v>
      </c>
      <c r="M172" s="354"/>
      <c r="N172" s="357"/>
      <c r="O172" s="363"/>
      <c r="P172" s="124">
        <v>4</v>
      </c>
      <c r="Q172" s="178" t="s">
        <v>534</v>
      </c>
      <c r="R172" s="125" t="s">
        <v>4</v>
      </c>
      <c r="S172" s="170" t="s">
        <v>14</v>
      </c>
      <c r="T172" s="170" t="s">
        <v>9</v>
      </c>
      <c r="U172" s="127" t="s">
        <v>346</v>
      </c>
      <c r="V172" s="170" t="s">
        <v>20</v>
      </c>
      <c r="W172" s="170" t="s">
        <v>22</v>
      </c>
      <c r="X172" s="170" t="s">
        <v>111</v>
      </c>
      <c r="Y172" s="128">
        <f t="shared" ref="Y172:Y174" si="100">IFERROR(IF(AND(R171="Probabilidad",R172="Probabilidad"),(AA171-(+AA171*U172)),IF(AND(R171="Impacto",R172="Probabilidad"),(AA170-(+AA170*U172)),IF(R172="Impacto",AA171,""))),"")</f>
        <v>7.7759999999999996E-2</v>
      </c>
      <c r="Z172" s="129" t="s">
        <v>47</v>
      </c>
      <c r="AA172" s="130">
        <v>7.7759999999999996E-2</v>
      </c>
      <c r="AB172" s="129" t="s">
        <v>77</v>
      </c>
      <c r="AC172" s="130">
        <v>0.6</v>
      </c>
      <c r="AD172" s="131" t="s">
        <v>77</v>
      </c>
      <c r="AE172" s="183" t="s">
        <v>257</v>
      </c>
      <c r="AF172" s="208" t="s">
        <v>537</v>
      </c>
      <c r="AG172" s="208" t="s">
        <v>529</v>
      </c>
      <c r="AH172" s="208" t="s">
        <v>538</v>
      </c>
      <c r="AI172" s="171" t="s">
        <v>531</v>
      </c>
      <c r="AJ172" s="171" t="s">
        <v>532</v>
      </c>
      <c r="AK172" s="172"/>
      <c r="AL172" s="172" t="s">
        <v>433</v>
      </c>
      <c r="AM172" s="351"/>
    </row>
    <row r="173" spans="1:39">
      <c r="A173" s="342"/>
      <c r="B173" s="345"/>
      <c r="C173" s="345"/>
      <c r="D173" s="345"/>
      <c r="E173" s="345"/>
      <c r="F173" s="348"/>
      <c r="G173" s="345"/>
      <c r="H173" s="351"/>
      <c r="I173" s="354"/>
      <c r="J173" s="357"/>
      <c r="K173" s="360"/>
      <c r="L173" s="357">
        <v>0</v>
      </c>
      <c r="M173" s="354"/>
      <c r="N173" s="357"/>
      <c r="O173" s="363"/>
      <c r="P173" s="124">
        <v>5</v>
      </c>
      <c r="Q173" s="178"/>
      <c r="R173" s="125" t="s">
        <v>361</v>
      </c>
      <c r="S173" s="170"/>
      <c r="T173" s="170"/>
      <c r="U173" s="127" t="s">
        <v>361</v>
      </c>
      <c r="V173" s="170"/>
      <c r="W173" s="170"/>
      <c r="X173" s="170"/>
      <c r="Y173" s="128" t="str">
        <f t="shared" si="100"/>
        <v/>
      </c>
      <c r="Z173" s="129" t="s">
        <v>361</v>
      </c>
      <c r="AA173" s="130" t="s">
        <v>361</v>
      </c>
      <c r="AB173" s="129" t="s">
        <v>361</v>
      </c>
      <c r="AC173" s="130" t="s">
        <v>361</v>
      </c>
      <c r="AD173" s="131" t="s">
        <v>361</v>
      </c>
      <c r="AE173" s="183"/>
      <c r="AF173" s="184"/>
      <c r="AG173" s="175"/>
      <c r="AH173" s="175"/>
      <c r="AI173" s="175"/>
      <c r="AJ173" s="175"/>
      <c r="AK173" s="176"/>
      <c r="AL173" s="176"/>
      <c r="AM173" s="351"/>
    </row>
    <row r="174" spans="1:39">
      <c r="A174" s="343"/>
      <c r="B174" s="346"/>
      <c r="C174" s="346"/>
      <c r="D174" s="346"/>
      <c r="E174" s="346"/>
      <c r="F174" s="349"/>
      <c r="G174" s="346"/>
      <c r="H174" s="352"/>
      <c r="I174" s="355"/>
      <c r="J174" s="358"/>
      <c r="K174" s="361"/>
      <c r="L174" s="358">
        <v>0</v>
      </c>
      <c r="M174" s="355"/>
      <c r="N174" s="358"/>
      <c r="O174" s="364"/>
      <c r="P174" s="124">
        <v>6</v>
      </c>
      <c r="Q174" s="178"/>
      <c r="R174" s="125" t="s">
        <v>361</v>
      </c>
      <c r="S174" s="170"/>
      <c r="T174" s="170"/>
      <c r="U174" s="127" t="s">
        <v>361</v>
      </c>
      <c r="V174" s="170"/>
      <c r="W174" s="170"/>
      <c r="X174" s="170"/>
      <c r="Y174" s="128" t="str">
        <f t="shared" si="100"/>
        <v/>
      </c>
      <c r="Z174" s="129" t="s">
        <v>361</v>
      </c>
      <c r="AA174" s="130" t="s">
        <v>361</v>
      </c>
      <c r="AB174" s="129" t="s">
        <v>361</v>
      </c>
      <c r="AC174" s="130" t="s">
        <v>361</v>
      </c>
      <c r="AD174" s="131" t="s">
        <v>361</v>
      </c>
      <c r="AE174" s="183"/>
      <c r="AF174" s="184"/>
      <c r="AG174" s="175"/>
      <c r="AH174" s="175"/>
      <c r="AI174" s="175"/>
      <c r="AJ174" s="175"/>
      <c r="AK174" s="176"/>
      <c r="AL174" s="176"/>
      <c r="AM174" s="352"/>
    </row>
    <row r="175" spans="1:39" ht="81">
      <c r="A175" s="341">
        <v>28</v>
      </c>
      <c r="B175" s="344" t="s">
        <v>210</v>
      </c>
      <c r="C175" s="344" t="s">
        <v>123</v>
      </c>
      <c r="D175" s="344" t="s">
        <v>539</v>
      </c>
      <c r="E175" s="344" t="s">
        <v>540</v>
      </c>
      <c r="F175" s="347" t="s">
        <v>541</v>
      </c>
      <c r="G175" s="344" t="s">
        <v>115</v>
      </c>
      <c r="H175" s="350">
        <v>40</v>
      </c>
      <c r="I175" s="353" t="s">
        <v>99</v>
      </c>
      <c r="J175" s="356">
        <v>0.6</v>
      </c>
      <c r="K175" s="359" t="s">
        <v>142</v>
      </c>
      <c r="L175" s="356" t="s">
        <v>142</v>
      </c>
      <c r="M175" s="353" t="s">
        <v>77</v>
      </c>
      <c r="N175" s="356">
        <v>0.6</v>
      </c>
      <c r="O175" s="362" t="s">
        <v>77</v>
      </c>
      <c r="P175" s="124">
        <v>1</v>
      </c>
      <c r="Q175" s="178" t="s">
        <v>542</v>
      </c>
      <c r="R175" s="125" t="s">
        <v>4</v>
      </c>
      <c r="S175" s="170" t="s">
        <v>14</v>
      </c>
      <c r="T175" s="170" t="s">
        <v>9</v>
      </c>
      <c r="U175" s="127" t="s">
        <v>346</v>
      </c>
      <c r="V175" s="170" t="s">
        <v>20</v>
      </c>
      <c r="W175" s="170" t="s">
        <v>23</v>
      </c>
      <c r="X175" s="170" t="s">
        <v>111</v>
      </c>
      <c r="Y175" s="128">
        <f>IFERROR(IF(R175="Probabilidad",(J175-(+J175*U175)),IF(R175="Impacto",J175,"")),"")</f>
        <v>0.36</v>
      </c>
      <c r="Z175" s="129" t="s">
        <v>49</v>
      </c>
      <c r="AA175" s="130">
        <v>0.36</v>
      </c>
      <c r="AB175" s="129" t="s">
        <v>77</v>
      </c>
      <c r="AC175" s="130">
        <v>0.6</v>
      </c>
      <c r="AD175" s="131" t="s">
        <v>77</v>
      </c>
      <c r="AE175" s="183" t="s">
        <v>257</v>
      </c>
      <c r="AF175" s="210" t="s">
        <v>543</v>
      </c>
      <c r="AG175" s="211" t="s">
        <v>544</v>
      </c>
      <c r="AH175" s="211" t="s">
        <v>311</v>
      </c>
      <c r="AI175" s="211" t="s">
        <v>545</v>
      </c>
      <c r="AJ175" s="211" t="s">
        <v>546</v>
      </c>
      <c r="AK175" s="368"/>
      <c r="AL175" s="212" t="s">
        <v>547</v>
      </c>
      <c r="AM175" s="344" t="s">
        <v>548</v>
      </c>
    </row>
    <row r="176" spans="1:39" ht="55.5">
      <c r="A176" s="342"/>
      <c r="B176" s="345"/>
      <c r="C176" s="345"/>
      <c r="D176" s="345"/>
      <c r="E176" s="345"/>
      <c r="F176" s="348"/>
      <c r="G176" s="345"/>
      <c r="H176" s="351"/>
      <c r="I176" s="354"/>
      <c r="J176" s="357"/>
      <c r="K176" s="360"/>
      <c r="L176" s="357">
        <v>0</v>
      </c>
      <c r="M176" s="354"/>
      <c r="N176" s="357"/>
      <c r="O176" s="363"/>
      <c r="P176" s="124">
        <v>2</v>
      </c>
      <c r="Q176" s="178" t="s">
        <v>549</v>
      </c>
      <c r="R176" s="125" t="s">
        <v>4</v>
      </c>
      <c r="S176" s="170" t="s">
        <v>14</v>
      </c>
      <c r="T176" s="170" t="s">
        <v>9</v>
      </c>
      <c r="U176" s="127" t="s">
        <v>346</v>
      </c>
      <c r="V176" s="170" t="s">
        <v>20</v>
      </c>
      <c r="W176" s="170" t="s">
        <v>23</v>
      </c>
      <c r="X176" s="170" t="s">
        <v>111</v>
      </c>
      <c r="Y176" s="128">
        <f>IFERROR(IF(AND(R175="Probabilidad",R176="Probabilidad"),(AA175-(+AA175*U176)),IF(R176="Probabilidad",(J175-(+J175*U176)),IF(R176="Impacto",AA175,""))),"")</f>
        <v>0.216</v>
      </c>
      <c r="Z176" s="129" t="s">
        <v>49</v>
      </c>
      <c r="AA176" s="130">
        <v>0.216</v>
      </c>
      <c r="AB176" s="129" t="s">
        <v>77</v>
      </c>
      <c r="AC176" s="130">
        <v>0.6</v>
      </c>
      <c r="AD176" s="131" t="s">
        <v>77</v>
      </c>
      <c r="AE176" s="183" t="s">
        <v>257</v>
      </c>
      <c r="AF176" s="210" t="s">
        <v>550</v>
      </c>
      <c r="AG176" s="211" t="s">
        <v>546</v>
      </c>
      <c r="AH176" s="211" t="s">
        <v>551</v>
      </c>
      <c r="AI176" s="211" t="s">
        <v>545</v>
      </c>
      <c r="AJ176" s="211" t="s">
        <v>546</v>
      </c>
      <c r="AK176" s="369"/>
      <c r="AL176" s="212" t="s">
        <v>552</v>
      </c>
      <c r="AM176" s="351"/>
    </row>
    <row r="177" spans="1:39" ht="27">
      <c r="A177" s="342"/>
      <c r="B177" s="345"/>
      <c r="C177" s="345"/>
      <c r="D177" s="345"/>
      <c r="E177" s="345"/>
      <c r="F177" s="348"/>
      <c r="G177" s="345"/>
      <c r="H177" s="351"/>
      <c r="I177" s="354"/>
      <c r="J177" s="357"/>
      <c r="K177" s="360"/>
      <c r="L177" s="357">
        <v>0</v>
      </c>
      <c r="M177" s="354"/>
      <c r="N177" s="357"/>
      <c r="O177" s="363"/>
      <c r="P177" s="124">
        <v>3</v>
      </c>
      <c r="Q177" s="207"/>
      <c r="R177" s="125" t="s">
        <v>361</v>
      </c>
      <c r="S177" s="170"/>
      <c r="T177" s="170"/>
      <c r="U177" s="127" t="s">
        <v>361</v>
      </c>
      <c r="V177" s="170"/>
      <c r="W177" s="170"/>
      <c r="X177" s="170"/>
      <c r="Y177" s="128" t="str">
        <f>IFERROR(IF(AND(R176="Probabilidad",R177="Probabilidad"),(AA176-(+AA176*U177)),IF(AND(R176="Impacto",R177="Probabilidad"),(AA175-(+AA175*U177)),IF(R177="Impacto",AA176,""))),"")</f>
        <v/>
      </c>
      <c r="Z177" s="129" t="s">
        <v>361</v>
      </c>
      <c r="AA177" s="130" t="s">
        <v>361</v>
      </c>
      <c r="AB177" s="129" t="s">
        <v>361</v>
      </c>
      <c r="AC177" s="130" t="s">
        <v>361</v>
      </c>
      <c r="AD177" s="131" t="s">
        <v>361</v>
      </c>
      <c r="AE177" s="183"/>
      <c r="AF177" s="210" t="s">
        <v>553</v>
      </c>
      <c r="AG177" s="211" t="s">
        <v>546</v>
      </c>
      <c r="AH177" s="211" t="s">
        <v>551</v>
      </c>
      <c r="AI177" s="211" t="s">
        <v>545</v>
      </c>
      <c r="AJ177" s="211" t="s">
        <v>546</v>
      </c>
      <c r="AK177" s="176"/>
      <c r="AL177" s="212" t="s">
        <v>552</v>
      </c>
      <c r="AM177" s="351"/>
    </row>
    <row r="178" spans="1:39">
      <c r="A178" s="342"/>
      <c r="B178" s="345"/>
      <c r="C178" s="345"/>
      <c r="D178" s="345"/>
      <c r="E178" s="345"/>
      <c r="F178" s="348"/>
      <c r="G178" s="345"/>
      <c r="H178" s="351"/>
      <c r="I178" s="354"/>
      <c r="J178" s="357"/>
      <c r="K178" s="360"/>
      <c r="L178" s="357">
        <v>0</v>
      </c>
      <c r="M178" s="354"/>
      <c r="N178" s="357"/>
      <c r="O178" s="363"/>
      <c r="P178" s="124">
        <v>4</v>
      </c>
      <c r="Q178" s="207"/>
      <c r="R178" s="125" t="s">
        <v>361</v>
      </c>
      <c r="S178" s="170"/>
      <c r="T178" s="170"/>
      <c r="U178" s="127" t="s">
        <v>361</v>
      </c>
      <c r="V178" s="170"/>
      <c r="W178" s="170"/>
      <c r="X178" s="170"/>
      <c r="Y178" s="128" t="str">
        <f t="shared" ref="Y178:Y180" si="101">IFERROR(IF(AND(R177="Probabilidad",R178="Probabilidad"),(AA177-(+AA177*U178)),IF(AND(R177="Impacto",R178="Probabilidad"),(AA176-(+AA176*U178)),IF(R178="Impacto",AA177,""))),"")</f>
        <v/>
      </c>
      <c r="Z178" s="129" t="s">
        <v>361</v>
      </c>
      <c r="AA178" s="130" t="s">
        <v>361</v>
      </c>
      <c r="AB178" s="129" t="s">
        <v>361</v>
      </c>
      <c r="AC178" s="130" t="s">
        <v>361</v>
      </c>
      <c r="AD178" s="131" t="s">
        <v>361</v>
      </c>
      <c r="AE178" s="183"/>
      <c r="AF178" s="184"/>
      <c r="AG178" s="175"/>
      <c r="AH178" s="175"/>
      <c r="AI178" s="175"/>
      <c r="AJ178" s="175"/>
      <c r="AK178" s="176"/>
      <c r="AL178" s="176"/>
      <c r="AM178" s="351"/>
    </row>
    <row r="179" spans="1:39">
      <c r="A179" s="342"/>
      <c r="B179" s="345"/>
      <c r="C179" s="345"/>
      <c r="D179" s="345"/>
      <c r="E179" s="345"/>
      <c r="F179" s="348"/>
      <c r="G179" s="345"/>
      <c r="H179" s="351"/>
      <c r="I179" s="354"/>
      <c r="J179" s="357"/>
      <c r="K179" s="360"/>
      <c r="L179" s="357">
        <v>0</v>
      </c>
      <c r="M179" s="354"/>
      <c r="N179" s="357"/>
      <c r="O179" s="363"/>
      <c r="P179" s="124">
        <v>5</v>
      </c>
      <c r="Q179" s="178"/>
      <c r="R179" s="125" t="s">
        <v>361</v>
      </c>
      <c r="S179" s="170"/>
      <c r="T179" s="170"/>
      <c r="U179" s="127" t="s">
        <v>361</v>
      </c>
      <c r="V179" s="170"/>
      <c r="W179" s="170"/>
      <c r="X179" s="170"/>
      <c r="Y179" s="128" t="str">
        <f t="shared" si="101"/>
        <v/>
      </c>
      <c r="Z179" s="129" t="s">
        <v>361</v>
      </c>
      <c r="AA179" s="130" t="s">
        <v>361</v>
      </c>
      <c r="AB179" s="129" t="s">
        <v>361</v>
      </c>
      <c r="AC179" s="130" t="s">
        <v>361</v>
      </c>
      <c r="AD179" s="131" t="s">
        <v>361</v>
      </c>
      <c r="AE179" s="183"/>
      <c r="AF179" s="184"/>
      <c r="AG179" s="175"/>
      <c r="AH179" s="175"/>
      <c r="AI179" s="175"/>
      <c r="AJ179" s="175"/>
      <c r="AK179" s="176"/>
      <c r="AL179" s="176"/>
      <c r="AM179" s="351"/>
    </row>
    <row r="180" spans="1:39">
      <c r="A180" s="343"/>
      <c r="B180" s="346"/>
      <c r="C180" s="346"/>
      <c r="D180" s="346"/>
      <c r="E180" s="346"/>
      <c r="F180" s="349"/>
      <c r="G180" s="346"/>
      <c r="H180" s="352"/>
      <c r="I180" s="355"/>
      <c r="J180" s="358"/>
      <c r="K180" s="361"/>
      <c r="L180" s="358">
        <v>0</v>
      </c>
      <c r="M180" s="355"/>
      <c r="N180" s="358"/>
      <c r="O180" s="364"/>
      <c r="P180" s="124">
        <v>6</v>
      </c>
      <c r="Q180" s="178"/>
      <c r="R180" s="125" t="s">
        <v>361</v>
      </c>
      <c r="S180" s="170"/>
      <c r="T180" s="170"/>
      <c r="U180" s="127" t="s">
        <v>361</v>
      </c>
      <c r="V180" s="170"/>
      <c r="W180" s="170"/>
      <c r="X180" s="170"/>
      <c r="Y180" s="128" t="str">
        <f t="shared" si="101"/>
        <v/>
      </c>
      <c r="Z180" s="129" t="s">
        <v>361</v>
      </c>
      <c r="AA180" s="130" t="s">
        <v>361</v>
      </c>
      <c r="AB180" s="129" t="s">
        <v>361</v>
      </c>
      <c r="AC180" s="130" t="s">
        <v>361</v>
      </c>
      <c r="AD180" s="131" t="s">
        <v>361</v>
      </c>
      <c r="AE180" s="183"/>
      <c r="AF180" s="184"/>
      <c r="AG180" s="175"/>
      <c r="AH180" s="175"/>
      <c r="AI180" s="175"/>
      <c r="AJ180" s="175"/>
      <c r="AK180" s="176"/>
      <c r="AL180" s="176"/>
      <c r="AM180" s="352"/>
    </row>
    <row r="181" spans="1:39" ht="54">
      <c r="A181" s="341">
        <v>29</v>
      </c>
      <c r="B181" s="344" t="s">
        <v>210</v>
      </c>
      <c r="C181" s="344" t="s">
        <v>123</v>
      </c>
      <c r="D181" s="344" t="s">
        <v>554</v>
      </c>
      <c r="E181" s="344" t="s">
        <v>555</v>
      </c>
      <c r="F181" s="347" t="s">
        <v>556</v>
      </c>
      <c r="G181" s="344" t="s">
        <v>120</v>
      </c>
      <c r="H181" s="350">
        <v>2000</v>
      </c>
      <c r="I181" s="353" t="s">
        <v>6</v>
      </c>
      <c r="J181" s="356">
        <v>0.8</v>
      </c>
      <c r="K181" s="359" t="s">
        <v>142</v>
      </c>
      <c r="L181" s="356" t="s">
        <v>142</v>
      </c>
      <c r="M181" s="353" t="s">
        <v>77</v>
      </c>
      <c r="N181" s="356">
        <v>0.6</v>
      </c>
      <c r="O181" s="362" t="s">
        <v>76</v>
      </c>
      <c r="P181" s="124">
        <v>1</v>
      </c>
      <c r="Q181" s="178" t="s">
        <v>557</v>
      </c>
      <c r="R181" s="125" t="s">
        <v>4</v>
      </c>
      <c r="S181" s="170" t="s">
        <v>15</v>
      </c>
      <c r="T181" s="170" t="s">
        <v>9</v>
      </c>
      <c r="U181" s="127" t="s">
        <v>352</v>
      </c>
      <c r="V181" s="170" t="s">
        <v>19</v>
      </c>
      <c r="W181" s="170" t="s">
        <v>22</v>
      </c>
      <c r="X181" s="170" t="s">
        <v>111</v>
      </c>
      <c r="Y181" s="128">
        <f>IFERROR(IF(R181="Probabilidad",(J181-(+J181*U181)),IF(R181="Impacto",J181,"")),"")</f>
        <v>0.56000000000000005</v>
      </c>
      <c r="Z181" s="129" t="s">
        <v>99</v>
      </c>
      <c r="AA181" s="130">
        <v>0.56000000000000005</v>
      </c>
      <c r="AB181" s="129" t="s">
        <v>77</v>
      </c>
      <c r="AC181" s="130">
        <v>0.6</v>
      </c>
      <c r="AD181" s="131" t="s">
        <v>77</v>
      </c>
      <c r="AE181" s="183" t="s">
        <v>257</v>
      </c>
      <c r="AF181" s="184" t="s">
        <v>558</v>
      </c>
      <c r="AG181" s="171" t="s">
        <v>559</v>
      </c>
      <c r="AH181" s="208" t="s">
        <v>560</v>
      </c>
      <c r="AI181" s="171" t="s">
        <v>561</v>
      </c>
      <c r="AJ181" s="171" t="s">
        <v>562</v>
      </c>
      <c r="AK181" s="172"/>
      <c r="AL181" s="172" t="s">
        <v>433</v>
      </c>
      <c r="AM181" s="344" t="s">
        <v>563</v>
      </c>
    </row>
    <row r="182" spans="1:39" ht="81">
      <c r="A182" s="342"/>
      <c r="B182" s="345"/>
      <c r="C182" s="345"/>
      <c r="D182" s="345"/>
      <c r="E182" s="345"/>
      <c r="F182" s="348"/>
      <c r="G182" s="345"/>
      <c r="H182" s="351"/>
      <c r="I182" s="354"/>
      <c r="J182" s="357"/>
      <c r="K182" s="360"/>
      <c r="L182" s="357">
        <v>0</v>
      </c>
      <c r="M182" s="354"/>
      <c r="N182" s="357"/>
      <c r="O182" s="363"/>
      <c r="P182" s="124">
        <v>2</v>
      </c>
      <c r="Q182" s="178" t="s">
        <v>564</v>
      </c>
      <c r="R182" s="125" t="s">
        <v>4</v>
      </c>
      <c r="S182" s="170" t="s">
        <v>15</v>
      </c>
      <c r="T182" s="170" t="s">
        <v>9</v>
      </c>
      <c r="U182" s="127" t="s">
        <v>352</v>
      </c>
      <c r="V182" s="170" t="s">
        <v>19</v>
      </c>
      <c r="W182" s="170" t="s">
        <v>22</v>
      </c>
      <c r="X182" s="170" t="s">
        <v>111</v>
      </c>
      <c r="Y182" s="128">
        <f>IFERROR(IF(AND(R181="Probabilidad",R182="Probabilidad"),(AA181-(+AA181*U182)),IF(R182="Probabilidad",(J181-(+J181*U182)),IF(R182="Impacto",AA181,""))),"")</f>
        <v>0.39200000000000002</v>
      </c>
      <c r="Z182" s="129" t="s">
        <v>49</v>
      </c>
      <c r="AA182" s="130">
        <v>0.39200000000000002</v>
      </c>
      <c r="AB182" s="129" t="s">
        <v>77</v>
      </c>
      <c r="AC182" s="130">
        <v>0.6</v>
      </c>
      <c r="AD182" s="131" t="s">
        <v>77</v>
      </c>
      <c r="AE182" s="183" t="s">
        <v>257</v>
      </c>
      <c r="AF182" s="208" t="s">
        <v>565</v>
      </c>
      <c r="AG182" s="171" t="s">
        <v>559</v>
      </c>
      <c r="AH182" s="208" t="s">
        <v>560</v>
      </c>
      <c r="AI182" s="171" t="s">
        <v>561</v>
      </c>
      <c r="AJ182" s="171" t="s">
        <v>562</v>
      </c>
      <c r="AK182" s="172"/>
      <c r="AL182" s="172" t="s">
        <v>433</v>
      </c>
      <c r="AM182" s="351"/>
    </row>
    <row r="183" spans="1:39" ht="54">
      <c r="A183" s="342"/>
      <c r="B183" s="345"/>
      <c r="C183" s="345"/>
      <c r="D183" s="345"/>
      <c r="E183" s="345"/>
      <c r="F183" s="348"/>
      <c r="G183" s="345"/>
      <c r="H183" s="351"/>
      <c r="I183" s="354"/>
      <c r="J183" s="357"/>
      <c r="K183" s="360"/>
      <c r="L183" s="357">
        <v>0</v>
      </c>
      <c r="M183" s="354"/>
      <c r="N183" s="357"/>
      <c r="O183" s="363"/>
      <c r="P183" s="124">
        <v>3</v>
      </c>
      <c r="Q183" s="179" t="s">
        <v>566</v>
      </c>
      <c r="R183" s="125" t="s">
        <v>4</v>
      </c>
      <c r="S183" s="170" t="s">
        <v>15</v>
      </c>
      <c r="T183" s="170" t="s">
        <v>9</v>
      </c>
      <c r="U183" s="127" t="s">
        <v>352</v>
      </c>
      <c r="V183" s="170" t="s">
        <v>19</v>
      </c>
      <c r="W183" s="170" t="s">
        <v>22</v>
      </c>
      <c r="X183" s="170" t="s">
        <v>111</v>
      </c>
      <c r="Y183" s="128">
        <f>IFERROR(IF(AND(R182="Probabilidad",R183="Probabilidad"),(AA182-(+AA182*U183)),IF(AND(R182="Impacto",R183="Probabilidad"),(AA181-(+AA181*U183)),IF(R183="Impacto",AA182,""))),"")</f>
        <v>0.27440000000000003</v>
      </c>
      <c r="Z183" s="129" t="s">
        <v>49</v>
      </c>
      <c r="AA183" s="130">
        <v>0.27440000000000003</v>
      </c>
      <c r="AB183" s="129" t="s">
        <v>77</v>
      </c>
      <c r="AC183" s="130">
        <v>0.6</v>
      </c>
      <c r="AD183" s="131" t="s">
        <v>77</v>
      </c>
      <c r="AE183" s="183" t="s">
        <v>257</v>
      </c>
      <c r="AF183" s="208" t="s">
        <v>567</v>
      </c>
      <c r="AG183" s="171" t="s">
        <v>559</v>
      </c>
      <c r="AH183" s="208" t="s">
        <v>560</v>
      </c>
      <c r="AI183" s="171" t="s">
        <v>561</v>
      </c>
      <c r="AJ183" s="171" t="s">
        <v>562</v>
      </c>
      <c r="AK183" s="172"/>
      <c r="AL183" s="172" t="s">
        <v>433</v>
      </c>
      <c r="AM183" s="351"/>
    </row>
    <row r="184" spans="1:39">
      <c r="A184" s="342"/>
      <c r="B184" s="345"/>
      <c r="C184" s="345"/>
      <c r="D184" s="345"/>
      <c r="E184" s="345"/>
      <c r="F184" s="348"/>
      <c r="G184" s="345"/>
      <c r="H184" s="351"/>
      <c r="I184" s="354"/>
      <c r="J184" s="357"/>
      <c r="K184" s="360"/>
      <c r="L184" s="357">
        <v>0</v>
      </c>
      <c r="M184" s="354"/>
      <c r="N184" s="357"/>
      <c r="O184" s="363"/>
      <c r="P184" s="124">
        <v>4</v>
      </c>
      <c r="Q184" s="178"/>
      <c r="R184" s="125" t="s">
        <v>361</v>
      </c>
      <c r="S184" s="170"/>
      <c r="T184" s="170"/>
      <c r="U184" s="127" t="s">
        <v>361</v>
      </c>
      <c r="V184" s="170"/>
      <c r="W184" s="170"/>
      <c r="X184" s="170"/>
      <c r="Y184" s="128" t="str">
        <f t="shared" ref="Y184:Y186" si="102">IFERROR(IF(AND(R183="Probabilidad",R184="Probabilidad"),(AA183-(+AA183*U184)),IF(AND(R183="Impacto",R184="Probabilidad"),(AA182-(+AA182*U184)),IF(R184="Impacto",AA183,""))),"")</f>
        <v/>
      </c>
      <c r="Z184" s="129" t="s">
        <v>361</v>
      </c>
      <c r="AA184" s="130" t="s">
        <v>361</v>
      </c>
      <c r="AB184" s="129" t="s">
        <v>361</v>
      </c>
      <c r="AC184" s="130" t="s">
        <v>361</v>
      </c>
      <c r="AD184" s="131" t="s">
        <v>361</v>
      </c>
      <c r="AE184" s="183"/>
      <c r="AF184" s="208"/>
      <c r="AG184" s="171"/>
      <c r="AH184" s="208"/>
      <c r="AI184" s="171"/>
      <c r="AJ184" s="171"/>
      <c r="AK184" s="172"/>
      <c r="AL184" s="172"/>
      <c r="AM184" s="351"/>
    </row>
    <row r="185" spans="1:39">
      <c r="A185" s="342"/>
      <c r="B185" s="345"/>
      <c r="C185" s="345"/>
      <c r="D185" s="345"/>
      <c r="E185" s="345"/>
      <c r="F185" s="348"/>
      <c r="G185" s="345"/>
      <c r="H185" s="351"/>
      <c r="I185" s="354"/>
      <c r="J185" s="357"/>
      <c r="K185" s="360"/>
      <c r="L185" s="357">
        <v>0</v>
      </c>
      <c r="M185" s="354"/>
      <c r="N185" s="357"/>
      <c r="O185" s="363"/>
      <c r="P185" s="124">
        <v>5</v>
      </c>
      <c r="Q185" s="178"/>
      <c r="R185" s="125" t="s">
        <v>361</v>
      </c>
      <c r="S185" s="170"/>
      <c r="T185" s="170"/>
      <c r="U185" s="127" t="s">
        <v>361</v>
      </c>
      <c r="V185" s="170"/>
      <c r="W185" s="170"/>
      <c r="X185" s="170"/>
      <c r="Y185" s="128" t="str">
        <f t="shared" si="102"/>
        <v/>
      </c>
      <c r="Z185" s="129" t="s">
        <v>361</v>
      </c>
      <c r="AA185" s="130" t="s">
        <v>361</v>
      </c>
      <c r="AB185" s="129" t="s">
        <v>361</v>
      </c>
      <c r="AC185" s="130" t="s">
        <v>361</v>
      </c>
      <c r="AD185" s="131" t="s">
        <v>361</v>
      </c>
      <c r="AE185" s="183"/>
      <c r="AF185" s="184"/>
      <c r="AG185" s="175"/>
      <c r="AH185" s="175"/>
      <c r="AI185" s="175"/>
      <c r="AJ185" s="175"/>
      <c r="AK185" s="176"/>
      <c r="AL185" s="176"/>
      <c r="AM185" s="351"/>
    </row>
    <row r="186" spans="1:39">
      <c r="A186" s="343"/>
      <c r="B186" s="346"/>
      <c r="C186" s="346"/>
      <c r="D186" s="346"/>
      <c r="E186" s="346"/>
      <c r="F186" s="349"/>
      <c r="G186" s="346"/>
      <c r="H186" s="352"/>
      <c r="I186" s="355"/>
      <c r="J186" s="358"/>
      <c r="K186" s="361"/>
      <c r="L186" s="358">
        <v>0</v>
      </c>
      <c r="M186" s="355"/>
      <c r="N186" s="358"/>
      <c r="O186" s="364"/>
      <c r="P186" s="124">
        <v>6</v>
      </c>
      <c r="Q186" s="178"/>
      <c r="R186" s="125" t="s">
        <v>361</v>
      </c>
      <c r="S186" s="170"/>
      <c r="T186" s="170"/>
      <c r="U186" s="127" t="s">
        <v>361</v>
      </c>
      <c r="V186" s="170"/>
      <c r="W186" s="170"/>
      <c r="X186" s="170"/>
      <c r="Y186" s="128" t="str">
        <f t="shared" si="102"/>
        <v/>
      </c>
      <c r="Z186" s="129" t="s">
        <v>361</v>
      </c>
      <c r="AA186" s="130" t="s">
        <v>361</v>
      </c>
      <c r="AB186" s="129" t="s">
        <v>361</v>
      </c>
      <c r="AC186" s="130" t="s">
        <v>361</v>
      </c>
      <c r="AD186" s="131" t="s">
        <v>361</v>
      </c>
      <c r="AE186" s="183"/>
      <c r="AF186" s="184"/>
      <c r="AG186" s="175"/>
      <c r="AH186" s="175"/>
      <c r="AI186" s="175"/>
      <c r="AJ186" s="175"/>
      <c r="AK186" s="176"/>
      <c r="AL186" s="176"/>
      <c r="AM186" s="352"/>
    </row>
    <row r="187" spans="1:39" ht="67.5">
      <c r="A187" s="341">
        <v>30</v>
      </c>
      <c r="B187" s="344" t="s">
        <v>210</v>
      </c>
      <c r="C187" s="344" t="s">
        <v>125</v>
      </c>
      <c r="D187" s="344" t="s">
        <v>568</v>
      </c>
      <c r="E187" s="344" t="s">
        <v>569</v>
      </c>
      <c r="F187" s="347" t="s">
        <v>570</v>
      </c>
      <c r="G187" s="344" t="s">
        <v>120</v>
      </c>
      <c r="H187" s="350">
        <v>40</v>
      </c>
      <c r="I187" s="353" t="s">
        <v>99</v>
      </c>
      <c r="J187" s="356">
        <v>0.6</v>
      </c>
      <c r="K187" s="359" t="s">
        <v>143</v>
      </c>
      <c r="L187" s="356" t="s">
        <v>143</v>
      </c>
      <c r="M187" s="353" t="s">
        <v>7</v>
      </c>
      <c r="N187" s="356">
        <v>0.8</v>
      </c>
      <c r="O187" s="362" t="s">
        <v>76</v>
      </c>
      <c r="P187" s="124">
        <v>1</v>
      </c>
      <c r="Q187" s="178" t="s">
        <v>571</v>
      </c>
      <c r="R187" s="125" t="s">
        <v>4</v>
      </c>
      <c r="S187" s="170" t="s">
        <v>14</v>
      </c>
      <c r="T187" s="170" t="s">
        <v>9</v>
      </c>
      <c r="U187" s="127" t="s">
        <v>346</v>
      </c>
      <c r="V187" s="170" t="s">
        <v>19</v>
      </c>
      <c r="W187" s="170" t="s">
        <v>22</v>
      </c>
      <c r="X187" s="170" t="s">
        <v>111</v>
      </c>
      <c r="Y187" s="128">
        <f>IFERROR(IF(R187="Probabilidad",(J187-(+J187*U187)),IF(R187="Impacto",J187,"")),"")</f>
        <v>0.36</v>
      </c>
      <c r="Z187" s="129" t="s">
        <v>49</v>
      </c>
      <c r="AA187" s="130">
        <v>0.36</v>
      </c>
      <c r="AB187" s="129" t="s">
        <v>7</v>
      </c>
      <c r="AC187" s="130">
        <v>0.8</v>
      </c>
      <c r="AD187" s="131" t="s">
        <v>76</v>
      </c>
      <c r="AE187" s="183" t="s">
        <v>257</v>
      </c>
      <c r="AF187" s="184" t="s">
        <v>572</v>
      </c>
      <c r="AG187" s="184" t="s">
        <v>573</v>
      </c>
      <c r="AH187" s="184" t="s">
        <v>574</v>
      </c>
      <c r="AI187" s="184" t="s">
        <v>575</v>
      </c>
      <c r="AJ187" s="184" t="s">
        <v>573</v>
      </c>
      <c r="AK187" s="172"/>
      <c r="AL187" s="172">
        <v>44926</v>
      </c>
      <c r="AM187" s="344" t="s">
        <v>576</v>
      </c>
    </row>
    <row r="188" spans="1:39" ht="54">
      <c r="A188" s="342"/>
      <c r="B188" s="345"/>
      <c r="C188" s="345"/>
      <c r="D188" s="345"/>
      <c r="E188" s="345"/>
      <c r="F188" s="348"/>
      <c r="G188" s="345"/>
      <c r="H188" s="351"/>
      <c r="I188" s="354"/>
      <c r="J188" s="357"/>
      <c r="K188" s="360"/>
      <c r="L188" s="357">
        <v>0</v>
      </c>
      <c r="M188" s="354"/>
      <c r="N188" s="357"/>
      <c r="O188" s="363"/>
      <c r="P188" s="124">
        <v>2</v>
      </c>
      <c r="Q188" s="178" t="s">
        <v>577</v>
      </c>
      <c r="R188" s="125" t="s">
        <v>4</v>
      </c>
      <c r="S188" s="170" t="s">
        <v>14</v>
      </c>
      <c r="T188" s="170" t="s">
        <v>9</v>
      </c>
      <c r="U188" s="127" t="s">
        <v>346</v>
      </c>
      <c r="V188" s="170" t="s">
        <v>19</v>
      </c>
      <c r="W188" s="170" t="s">
        <v>22</v>
      </c>
      <c r="X188" s="170" t="s">
        <v>111</v>
      </c>
      <c r="Y188" s="128">
        <f>IFERROR(IF(AND(R187="Probabilidad",R188="Probabilidad"),(AA187-(+AA187*U188)),IF(R188="Probabilidad",(J187-(+J187*U188)),IF(R188="Impacto",AA187,""))),"")</f>
        <v>0.216</v>
      </c>
      <c r="Z188" s="129" t="s">
        <v>49</v>
      </c>
      <c r="AA188" s="130">
        <v>0.216</v>
      </c>
      <c r="AB188" s="129" t="s">
        <v>7</v>
      </c>
      <c r="AC188" s="130">
        <v>0.8</v>
      </c>
      <c r="AD188" s="131" t="s">
        <v>76</v>
      </c>
      <c r="AE188" s="183" t="s">
        <v>257</v>
      </c>
      <c r="AF188" s="213" t="s">
        <v>578</v>
      </c>
      <c r="AG188" s="184" t="s">
        <v>579</v>
      </c>
      <c r="AH188" s="184" t="s">
        <v>580</v>
      </c>
      <c r="AI188" s="184" t="s">
        <v>581</v>
      </c>
      <c r="AJ188" s="184" t="s">
        <v>582</v>
      </c>
      <c r="AK188" s="172"/>
      <c r="AL188" s="172">
        <v>44926</v>
      </c>
      <c r="AM188" s="351"/>
    </row>
    <row r="189" spans="1:39" ht="81">
      <c r="A189" s="342"/>
      <c r="B189" s="345"/>
      <c r="C189" s="345"/>
      <c r="D189" s="345"/>
      <c r="E189" s="345"/>
      <c r="F189" s="348"/>
      <c r="G189" s="345"/>
      <c r="H189" s="351"/>
      <c r="I189" s="354"/>
      <c r="J189" s="357"/>
      <c r="K189" s="360"/>
      <c r="L189" s="357">
        <v>0</v>
      </c>
      <c r="M189" s="354"/>
      <c r="N189" s="357"/>
      <c r="O189" s="363"/>
      <c r="P189" s="124">
        <v>3</v>
      </c>
      <c r="Q189" s="178" t="s">
        <v>583</v>
      </c>
      <c r="R189" s="125" t="s">
        <v>4</v>
      </c>
      <c r="S189" s="170" t="s">
        <v>14</v>
      </c>
      <c r="T189" s="170" t="s">
        <v>9</v>
      </c>
      <c r="U189" s="127" t="s">
        <v>346</v>
      </c>
      <c r="V189" s="170" t="s">
        <v>19</v>
      </c>
      <c r="W189" s="170" t="s">
        <v>22</v>
      </c>
      <c r="X189" s="170" t="s">
        <v>111</v>
      </c>
      <c r="Y189" s="128">
        <f>IFERROR(IF(AND(R188="Probabilidad",R189="Probabilidad"),(AA188-(+AA188*U189)),IF(AND(R188="Impacto",R189="Probabilidad"),(AA187-(+AA187*U189)),IF(R189="Impacto",AA188,""))),"")</f>
        <v>0.12959999999999999</v>
      </c>
      <c r="Z189" s="129" t="s">
        <v>47</v>
      </c>
      <c r="AA189" s="130">
        <v>0.12959999999999999</v>
      </c>
      <c r="AB189" s="129" t="s">
        <v>7</v>
      </c>
      <c r="AC189" s="130">
        <v>0.8</v>
      </c>
      <c r="AD189" s="131" t="s">
        <v>76</v>
      </c>
      <c r="AE189" s="183" t="s">
        <v>257</v>
      </c>
      <c r="AF189" s="207" t="s">
        <v>584</v>
      </c>
      <c r="AG189" s="184" t="s">
        <v>579</v>
      </c>
      <c r="AH189" s="184" t="s">
        <v>580</v>
      </c>
      <c r="AI189" s="184" t="s">
        <v>581</v>
      </c>
      <c r="AJ189" s="184" t="s">
        <v>582</v>
      </c>
      <c r="AK189" s="172"/>
      <c r="AL189" s="172">
        <v>44926</v>
      </c>
      <c r="AM189" s="351"/>
    </row>
    <row r="190" spans="1:39" ht="95.25">
      <c r="A190" s="342"/>
      <c r="B190" s="345"/>
      <c r="C190" s="345"/>
      <c r="D190" s="345"/>
      <c r="E190" s="345"/>
      <c r="F190" s="348"/>
      <c r="G190" s="345"/>
      <c r="H190" s="351"/>
      <c r="I190" s="354"/>
      <c r="J190" s="357"/>
      <c r="K190" s="360"/>
      <c r="L190" s="357">
        <v>0</v>
      </c>
      <c r="M190" s="354"/>
      <c r="N190" s="357"/>
      <c r="O190" s="363"/>
      <c r="P190" s="124">
        <v>4</v>
      </c>
      <c r="Q190" s="209" t="s">
        <v>585</v>
      </c>
      <c r="R190" s="125" t="s">
        <v>4</v>
      </c>
      <c r="S190" s="170" t="s">
        <v>14</v>
      </c>
      <c r="T190" s="170" t="s">
        <v>9</v>
      </c>
      <c r="U190" s="127" t="s">
        <v>346</v>
      </c>
      <c r="V190" s="170" t="s">
        <v>19</v>
      </c>
      <c r="W190" s="170" t="s">
        <v>22</v>
      </c>
      <c r="X190" s="170" t="s">
        <v>111</v>
      </c>
      <c r="Y190" s="128">
        <f t="shared" ref="Y190:Y192" si="103">IFERROR(IF(AND(R189="Probabilidad",R190="Probabilidad"),(AA189-(+AA189*U190)),IF(AND(R189="Impacto",R190="Probabilidad"),(AA188-(+AA188*U190)),IF(R190="Impacto",AA189,""))),"")</f>
        <v>7.7759999999999996E-2</v>
      </c>
      <c r="Z190" s="129" t="s">
        <v>47</v>
      </c>
      <c r="AA190" s="130">
        <v>7.7759999999999996E-2</v>
      </c>
      <c r="AB190" s="129" t="s">
        <v>7</v>
      </c>
      <c r="AC190" s="130">
        <v>0.8</v>
      </c>
      <c r="AD190" s="131" t="s">
        <v>76</v>
      </c>
      <c r="AE190" s="183" t="s">
        <v>257</v>
      </c>
      <c r="AF190" s="213" t="s">
        <v>586</v>
      </c>
      <c r="AG190" s="184" t="s">
        <v>573</v>
      </c>
      <c r="AH190" s="184" t="s">
        <v>574</v>
      </c>
      <c r="AI190" s="184" t="s">
        <v>575</v>
      </c>
      <c r="AJ190" s="184" t="s">
        <v>573</v>
      </c>
      <c r="AK190" s="176"/>
      <c r="AL190" s="172">
        <v>44926</v>
      </c>
      <c r="AM190" s="351"/>
    </row>
    <row r="191" spans="1:39">
      <c r="A191" s="342"/>
      <c r="B191" s="345"/>
      <c r="C191" s="345"/>
      <c r="D191" s="345"/>
      <c r="E191" s="345"/>
      <c r="F191" s="348"/>
      <c r="G191" s="345"/>
      <c r="H191" s="351"/>
      <c r="I191" s="354"/>
      <c r="J191" s="357"/>
      <c r="K191" s="360"/>
      <c r="L191" s="357">
        <v>0</v>
      </c>
      <c r="M191" s="354"/>
      <c r="N191" s="357"/>
      <c r="O191" s="363"/>
      <c r="P191" s="124">
        <v>5</v>
      </c>
      <c r="Q191" s="178"/>
      <c r="R191" s="125" t="s">
        <v>361</v>
      </c>
      <c r="S191" s="170"/>
      <c r="T191" s="170"/>
      <c r="U191" s="127" t="s">
        <v>361</v>
      </c>
      <c r="V191" s="170"/>
      <c r="W191" s="170"/>
      <c r="X191" s="170"/>
      <c r="Y191" s="128" t="str">
        <f t="shared" si="103"/>
        <v/>
      </c>
      <c r="Z191" s="129" t="s">
        <v>361</v>
      </c>
      <c r="AA191" s="130" t="s">
        <v>361</v>
      </c>
      <c r="AB191" s="129" t="s">
        <v>361</v>
      </c>
      <c r="AC191" s="130" t="s">
        <v>361</v>
      </c>
      <c r="AD191" s="131" t="s">
        <v>361</v>
      </c>
      <c r="AE191" s="183"/>
      <c r="AF191" s="184"/>
      <c r="AG191" s="175"/>
      <c r="AH191" s="175"/>
      <c r="AI191" s="175"/>
      <c r="AJ191" s="175"/>
      <c r="AK191" s="176"/>
      <c r="AL191" s="176"/>
      <c r="AM191" s="351"/>
    </row>
    <row r="192" spans="1:39">
      <c r="A192" s="343"/>
      <c r="B192" s="346"/>
      <c r="C192" s="346"/>
      <c r="D192" s="346"/>
      <c r="E192" s="346"/>
      <c r="F192" s="349"/>
      <c r="G192" s="346"/>
      <c r="H192" s="352"/>
      <c r="I192" s="355"/>
      <c r="J192" s="358"/>
      <c r="K192" s="361"/>
      <c r="L192" s="358">
        <v>0</v>
      </c>
      <c r="M192" s="355"/>
      <c r="N192" s="358"/>
      <c r="O192" s="364"/>
      <c r="P192" s="124">
        <v>6</v>
      </c>
      <c r="Q192" s="178"/>
      <c r="R192" s="125" t="s">
        <v>361</v>
      </c>
      <c r="S192" s="170"/>
      <c r="T192" s="170"/>
      <c r="U192" s="127" t="s">
        <v>361</v>
      </c>
      <c r="V192" s="170"/>
      <c r="W192" s="170"/>
      <c r="X192" s="170"/>
      <c r="Y192" s="128" t="str">
        <f t="shared" si="103"/>
        <v/>
      </c>
      <c r="Z192" s="129" t="s">
        <v>361</v>
      </c>
      <c r="AA192" s="130" t="s">
        <v>361</v>
      </c>
      <c r="AB192" s="129" t="s">
        <v>361</v>
      </c>
      <c r="AC192" s="130" t="s">
        <v>361</v>
      </c>
      <c r="AD192" s="131" t="s">
        <v>361</v>
      </c>
      <c r="AE192" s="183"/>
      <c r="AF192" s="184"/>
      <c r="AG192" s="175"/>
      <c r="AH192" s="175"/>
      <c r="AI192" s="175"/>
      <c r="AJ192" s="175"/>
      <c r="AK192" s="176"/>
      <c r="AL192" s="176"/>
      <c r="AM192" s="352"/>
    </row>
    <row r="193" spans="1:40" ht="175.5">
      <c r="A193" s="341">
        <v>31</v>
      </c>
      <c r="B193" s="344" t="s">
        <v>225</v>
      </c>
      <c r="C193" s="344" t="s">
        <v>125</v>
      </c>
      <c r="D193" s="344" t="s">
        <v>587</v>
      </c>
      <c r="E193" s="344" t="s">
        <v>588</v>
      </c>
      <c r="F193" s="347" t="s">
        <v>589</v>
      </c>
      <c r="G193" s="344" t="s">
        <v>120</v>
      </c>
      <c r="H193" s="350">
        <v>400000</v>
      </c>
      <c r="I193" s="353" t="s">
        <v>50</v>
      </c>
      <c r="J193" s="356">
        <v>1</v>
      </c>
      <c r="K193" s="359" t="s">
        <v>142</v>
      </c>
      <c r="L193" s="356" t="s">
        <v>142</v>
      </c>
      <c r="M193" s="353" t="s">
        <v>77</v>
      </c>
      <c r="N193" s="356">
        <v>0.6</v>
      </c>
      <c r="O193" s="362" t="s">
        <v>76</v>
      </c>
      <c r="P193" s="124">
        <v>1</v>
      </c>
      <c r="Q193" s="178" t="s">
        <v>590</v>
      </c>
      <c r="R193" s="125" t="s">
        <v>4</v>
      </c>
      <c r="S193" s="170" t="s">
        <v>14</v>
      </c>
      <c r="T193" s="170" t="s">
        <v>9</v>
      </c>
      <c r="U193" s="127" t="s">
        <v>346</v>
      </c>
      <c r="V193" s="170" t="s">
        <v>19</v>
      </c>
      <c r="W193" s="170" t="s">
        <v>23</v>
      </c>
      <c r="X193" s="170" t="s">
        <v>111</v>
      </c>
      <c r="Y193" s="128">
        <f>IFERROR(IF(R193="Probabilidad",(J193-(+J193*U193)),IF(R193="Impacto",J193,"")),"")</f>
        <v>0.6</v>
      </c>
      <c r="Z193" s="129" t="s">
        <v>99</v>
      </c>
      <c r="AA193" s="130">
        <v>0.6</v>
      </c>
      <c r="AB193" s="129" t="s">
        <v>77</v>
      </c>
      <c r="AC193" s="130">
        <v>0.6</v>
      </c>
      <c r="AD193" s="131" t="s">
        <v>77</v>
      </c>
      <c r="AE193" s="183" t="s">
        <v>257</v>
      </c>
      <c r="AF193" s="184" t="s">
        <v>591</v>
      </c>
      <c r="AG193" s="171" t="s">
        <v>592</v>
      </c>
      <c r="AH193" s="171" t="s">
        <v>593</v>
      </c>
      <c r="AI193" s="175" t="s">
        <v>594</v>
      </c>
      <c r="AJ193" s="175" t="s">
        <v>595</v>
      </c>
      <c r="AK193" s="176">
        <v>44695</v>
      </c>
      <c r="AL193" s="176">
        <v>44926</v>
      </c>
      <c r="AM193" s="350" t="s">
        <v>596</v>
      </c>
      <c r="AN193" s="350"/>
    </row>
    <row r="194" spans="1:40">
      <c r="A194" s="342"/>
      <c r="B194" s="345"/>
      <c r="C194" s="345"/>
      <c r="D194" s="345"/>
      <c r="E194" s="345"/>
      <c r="F194" s="348"/>
      <c r="G194" s="345"/>
      <c r="H194" s="351"/>
      <c r="I194" s="354"/>
      <c r="J194" s="357"/>
      <c r="K194" s="360"/>
      <c r="L194" s="357">
        <v>0</v>
      </c>
      <c r="M194" s="354"/>
      <c r="N194" s="357"/>
      <c r="O194" s="363"/>
      <c r="P194" s="124">
        <v>2</v>
      </c>
      <c r="Q194" s="178"/>
      <c r="R194" s="125" t="s">
        <v>361</v>
      </c>
      <c r="S194" s="170"/>
      <c r="T194" s="170"/>
      <c r="U194" s="127" t="s">
        <v>361</v>
      </c>
      <c r="V194" s="170"/>
      <c r="W194" s="170"/>
      <c r="X194" s="170"/>
      <c r="Y194" s="128" t="str">
        <f>IFERROR(IF(AND(R193="Probabilidad",R194="Probabilidad"),(AA193-(+AA193*U194)),IF(R194="Probabilidad",(J193-(+J193*U194)),IF(R194="Impacto",AA193,""))),"")</f>
        <v/>
      </c>
      <c r="Z194" s="129" t="s">
        <v>361</v>
      </c>
      <c r="AA194" s="130" t="s">
        <v>361</v>
      </c>
      <c r="AB194" s="129" t="s">
        <v>361</v>
      </c>
      <c r="AC194" s="130" t="s">
        <v>361</v>
      </c>
      <c r="AD194" s="131" t="s">
        <v>361</v>
      </c>
      <c r="AE194" s="183"/>
      <c r="AF194" s="184"/>
      <c r="AG194" s="171"/>
      <c r="AH194" s="171"/>
      <c r="AI194" s="175"/>
      <c r="AJ194" s="175"/>
      <c r="AK194" s="176"/>
      <c r="AL194" s="176"/>
      <c r="AM194" s="351"/>
      <c r="AN194" s="351"/>
    </row>
    <row r="195" spans="1:40">
      <c r="A195" s="342"/>
      <c r="B195" s="345"/>
      <c r="C195" s="345"/>
      <c r="D195" s="345"/>
      <c r="E195" s="345"/>
      <c r="F195" s="348"/>
      <c r="G195" s="345"/>
      <c r="H195" s="351"/>
      <c r="I195" s="354"/>
      <c r="J195" s="357"/>
      <c r="K195" s="360"/>
      <c r="L195" s="357">
        <v>0</v>
      </c>
      <c r="M195" s="354"/>
      <c r="N195" s="357"/>
      <c r="O195" s="363"/>
      <c r="P195" s="124">
        <v>3</v>
      </c>
      <c r="Q195" s="178"/>
      <c r="R195" s="125" t="s">
        <v>361</v>
      </c>
      <c r="S195" s="170"/>
      <c r="T195" s="170"/>
      <c r="U195" s="127" t="s">
        <v>361</v>
      </c>
      <c r="V195" s="170"/>
      <c r="W195" s="170"/>
      <c r="X195" s="170"/>
      <c r="Y195" s="128" t="str">
        <f>IFERROR(IF(AND(R194="Probabilidad",R195="Probabilidad"),(AA194-(+AA194*U195)),IF(AND(R194="Impacto",R195="Probabilidad"),(AA193-(+AA193*U195)),IF(R195="Impacto",AA194,""))),"")</f>
        <v/>
      </c>
      <c r="Z195" s="129" t="s">
        <v>361</v>
      </c>
      <c r="AA195" s="130" t="s">
        <v>361</v>
      </c>
      <c r="AB195" s="129" t="s">
        <v>361</v>
      </c>
      <c r="AC195" s="130" t="s">
        <v>361</v>
      </c>
      <c r="AD195" s="131" t="s">
        <v>361</v>
      </c>
      <c r="AE195" s="183"/>
      <c r="AF195" s="184"/>
      <c r="AG195" s="171"/>
      <c r="AH195" s="171"/>
      <c r="AI195" s="175"/>
      <c r="AJ195" s="175"/>
      <c r="AK195" s="176"/>
      <c r="AL195" s="176"/>
      <c r="AM195" s="351"/>
      <c r="AN195" s="351"/>
    </row>
    <row r="196" spans="1:40">
      <c r="A196" s="342"/>
      <c r="B196" s="345"/>
      <c r="C196" s="345"/>
      <c r="D196" s="345"/>
      <c r="E196" s="345"/>
      <c r="F196" s="348"/>
      <c r="G196" s="345"/>
      <c r="H196" s="351"/>
      <c r="I196" s="354"/>
      <c r="J196" s="357"/>
      <c r="K196" s="360"/>
      <c r="L196" s="357">
        <v>0</v>
      </c>
      <c r="M196" s="354"/>
      <c r="N196" s="357"/>
      <c r="O196" s="363"/>
      <c r="P196" s="124">
        <v>4</v>
      </c>
      <c r="Q196" s="178"/>
      <c r="R196" s="125" t="s">
        <v>361</v>
      </c>
      <c r="S196" s="170"/>
      <c r="T196" s="170"/>
      <c r="U196" s="127" t="s">
        <v>361</v>
      </c>
      <c r="V196" s="170"/>
      <c r="W196" s="170"/>
      <c r="X196" s="170"/>
      <c r="Y196" s="128" t="str">
        <f t="shared" ref="Y196:Y198" si="104">IFERROR(IF(AND(R195="Probabilidad",R196="Probabilidad"),(AA195-(+AA195*U196)),IF(AND(R195="Impacto",R196="Probabilidad"),(AA194-(+AA194*U196)),IF(R196="Impacto",AA195,""))),"")</f>
        <v/>
      </c>
      <c r="Z196" s="129" t="s">
        <v>361</v>
      </c>
      <c r="AA196" s="130" t="s">
        <v>361</v>
      </c>
      <c r="AB196" s="129" t="s">
        <v>361</v>
      </c>
      <c r="AC196" s="130" t="s">
        <v>361</v>
      </c>
      <c r="AD196" s="131" t="s">
        <v>361</v>
      </c>
      <c r="AE196" s="183"/>
      <c r="AF196" s="184"/>
      <c r="AG196" s="175"/>
      <c r="AH196" s="175"/>
      <c r="AI196" s="175"/>
      <c r="AJ196" s="175"/>
      <c r="AK196" s="176"/>
      <c r="AL196" s="176"/>
      <c r="AM196" s="351"/>
      <c r="AN196" s="351"/>
    </row>
    <row r="197" spans="1:40">
      <c r="A197" s="342"/>
      <c r="B197" s="345"/>
      <c r="C197" s="345"/>
      <c r="D197" s="345"/>
      <c r="E197" s="345"/>
      <c r="F197" s="348"/>
      <c r="G197" s="345"/>
      <c r="H197" s="351"/>
      <c r="I197" s="354"/>
      <c r="J197" s="357"/>
      <c r="K197" s="360"/>
      <c r="L197" s="357">
        <v>0</v>
      </c>
      <c r="M197" s="354"/>
      <c r="N197" s="357"/>
      <c r="O197" s="363"/>
      <c r="P197" s="124">
        <v>5</v>
      </c>
      <c r="Q197" s="178"/>
      <c r="R197" s="125" t="s">
        <v>361</v>
      </c>
      <c r="S197" s="170"/>
      <c r="T197" s="170"/>
      <c r="U197" s="127" t="s">
        <v>361</v>
      </c>
      <c r="V197" s="170"/>
      <c r="W197" s="170"/>
      <c r="X197" s="170"/>
      <c r="Y197" s="128" t="str">
        <f t="shared" si="104"/>
        <v/>
      </c>
      <c r="Z197" s="129" t="s">
        <v>361</v>
      </c>
      <c r="AA197" s="130" t="s">
        <v>361</v>
      </c>
      <c r="AB197" s="129" t="s">
        <v>361</v>
      </c>
      <c r="AC197" s="130" t="s">
        <v>361</v>
      </c>
      <c r="AD197" s="131" t="s">
        <v>361</v>
      </c>
      <c r="AE197" s="183"/>
      <c r="AF197" s="184"/>
      <c r="AG197" s="175"/>
      <c r="AH197" s="175"/>
      <c r="AI197" s="175"/>
      <c r="AJ197" s="175"/>
      <c r="AK197" s="176"/>
      <c r="AL197" s="176"/>
      <c r="AM197" s="351"/>
      <c r="AN197" s="351"/>
    </row>
    <row r="198" spans="1:40">
      <c r="A198" s="343"/>
      <c r="B198" s="346"/>
      <c r="C198" s="346"/>
      <c r="D198" s="346"/>
      <c r="E198" s="346"/>
      <c r="F198" s="349"/>
      <c r="G198" s="346"/>
      <c r="H198" s="352"/>
      <c r="I198" s="355"/>
      <c r="J198" s="358"/>
      <c r="K198" s="361"/>
      <c r="L198" s="358">
        <v>0</v>
      </c>
      <c r="M198" s="355"/>
      <c r="N198" s="358"/>
      <c r="O198" s="364"/>
      <c r="P198" s="124">
        <v>6</v>
      </c>
      <c r="Q198" s="178"/>
      <c r="R198" s="125" t="s">
        <v>361</v>
      </c>
      <c r="S198" s="170"/>
      <c r="T198" s="170"/>
      <c r="U198" s="127" t="s">
        <v>361</v>
      </c>
      <c r="V198" s="170"/>
      <c r="W198" s="170"/>
      <c r="X198" s="170"/>
      <c r="Y198" s="128" t="str">
        <f t="shared" si="104"/>
        <v/>
      </c>
      <c r="Z198" s="129" t="s">
        <v>361</v>
      </c>
      <c r="AA198" s="130" t="s">
        <v>361</v>
      </c>
      <c r="AB198" s="129" t="s">
        <v>361</v>
      </c>
      <c r="AC198" s="130" t="s">
        <v>361</v>
      </c>
      <c r="AD198" s="131" t="s">
        <v>361</v>
      </c>
      <c r="AE198" s="183"/>
      <c r="AF198" s="184"/>
      <c r="AG198" s="175"/>
      <c r="AH198" s="175"/>
      <c r="AI198" s="175"/>
      <c r="AJ198" s="175"/>
      <c r="AK198" s="176"/>
      <c r="AL198" s="176"/>
      <c r="AM198" s="352"/>
      <c r="AN198" s="352"/>
    </row>
    <row r="199" spans="1:40" ht="283.5">
      <c r="A199" s="341">
        <v>32</v>
      </c>
      <c r="B199" s="344" t="s">
        <v>225</v>
      </c>
      <c r="C199" s="344" t="s">
        <v>125</v>
      </c>
      <c r="D199" s="344" t="s">
        <v>597</v>
      </c>
      <c r="E199" s="344" t="s">
        <v>598</v>
      </c>
      <c r="F199" s="347" t="s">
        <v>599</v>
      </c>
      <c r="G199" s="344" t="s">
        <v>120</v>
      </c>
      <c r="H199" s="350">
        <v>36000</v>
      </c>
      <c r="I199" s="353" t="s">
        <v>50</v>
      </c>
      <c r="J199" s="356">
        <v>1</v>
      </c>
      <c r="K199" s="359" t="s">
        <v>142</v>
      </c>
      <c r="L199" s="356" t="s">
        <v>142</v>
      </c>
      <c r="M199" s="353" t="s">
        <v>77</v>
      </c>
      <c r="N199" s="356">
        <v>0.6</v>
      </c>
      <c r="O199" s="362" t="s">
        <v>76</v>
      </c>
      <c r="P199" s="124">
        <v>1</v>
      </c>
      <c r="Q199" s="178" t="s">
        <v>600</v>
      </c>
      <c r="R199" s="125" t="s">
        <v>4</v>
      </c>
      <c r="S199" s="170" t="s">
        <v>14</v>
      </c>
      <c r="T199" s="170" t="s">
        <v>9</v>
      </c>
      <c r="U199" s="127" t="s">
        <v>346</v>
      </c>
      <c r="V199" s="170" t="s">
        <v>19</v>
      </c>
      <c r="W199" s="170" t="s">
        <v>23</v>
      </c>
      <c r="X199" s="170" t="s">
        <v>111</v>
      </c>
      <c r="Y199" s="128">
        <f>IFERROR(IF(R199="Probabilidad",(J199-(+J199*U199)),IF(R199="Impacto",J199,"")),"")</f>
        <v>0.6</v>
      </c>
      <c r="Z199" s="129" t="s">
        <v>99</v>
      </c>
      <c r="AA199" s="130">
        <v>0.6</v>
      </c>
      <c r="AB199" s="129" t="s">
        <v>77</v>
      </c>
      <c r="AC199" s="130">
        <v>0.6</v>
      </c>
      <c r="AD199" s="131" t="s">
        <v>77</v>
      </c>
      <c r="AE199" s="183" t="s">
        <v>257</v>
      </c>
      <c r="AF199" s="184" t="s">
        <v>601</v>
      </c>
      <c r="AG199" s="171" t="s">
        <v>592</v>
      </c>
      <c r="AH199" s="171" t="s">
        <v>593</v>
      </c>
      <c r="AI199" s="175" t="s">
        <v>594</v>
      </c>
      <c r="AJ199" s="175" t="s">
        <v>595</v>
      </c>
      <c r="AK199" s="176">
        <v>44695</v>
      </c>
      <c r="AL199" s="176">
        <v>44926</v>
      </c>
      <c r="AM199" s="350" t="s">
        <v>602</v>
      </c>
      <c r="AN199" s="350"/>
    </row>
    <row r="200" spans="1:40" ht="108">
      <c r="A200" s="342"/>
      <c r="B200" s="345"/>
      <c r="C200" s="345"/>
      <c r="D200" s="345"/>
      <c r="E200" s="345"/>
      <c r="F200" s="348"/>
      <c r="G200" s="345"/>
      <c r="H200" s="351"/>
      <c r="I200" s="354"/>
      <c r="J200" s="357"/>
      <c r="K200" s="360"/>
      <c r="L200" s="357">
        <v>0</v>
      </c>
      <c r="M200" s="354"/>
      <c r="N200" s="357"/>
      <c r="O200" s="363"/>
      <c r="P200" s="124">
        <v>2</v>
      </c>
      <c r="Q200" s="178" t="s">
        <v>603</v>
      </c>
      <c r="R200" s="125" t="s">
        <v>4</v>
      </c>
      <c r="S200" s="170" t="s">
        <v>14</v>
      </c>
      <c r="T200" s="170" t="s">
        <v>9</v>
      </c>
      <c r="U200" s="127" t="s">
        <v>346</v>
      </c>
      <c r="V200" s="170" t="s">
        <v>19</v>
      </c>
      <c r="W200" s="170" t="s">
        <v>23</v>
      </c>
      <c r="X200" s="170" t="s">
        <v>111</v>
      </c>
      <c r="Y200" s="128">
        <f>IFERROR(IF(AND(R199="Probabilidad",R200="Probabilidad"),(AA199-(+AA199*U200)),IF(R200="Probabilidad",(J199-(+J199*U200)),IF(R200="Impacto",AA199,""))),"")</f>
        <v>0.36</v>
      </c>
      <c r="Z200" s="129" t="s">
        <v>49</v>
      </c>
      <c r="AA200" s="130">
        <v>0.36</v>
      </c>
      <c r="AB200" s="129" t="s">
        <v>77</v>
      </c>
      <c r="AC200" s="130">
        <v>0.6</v>
      </c>
      <c r="AD200" s="131" t="s">
        <v>77</v>
      </c>
      <c r="AE200" s="183" t="s">
        <v>257</v>
      </c>
      <c r="AF200" s="184" t="s">
        <v>604</v>
      </c>
      <c r="AG200" s="171" t="s">
        <v>592</v>
      </c>
      <c r="AH200" s="171" t="s">
        <v>593</v>
      </c>
      <c r="AI200" s="175" t="s">
        <v>594</v>
      </c>
      <c r="AJ200" s="175" t="s">
        <v>595</v>
      </c>
      <c r="AK200" s="176">
        <v>44695</v>
      </c>
      <c r="AL200" s="176">
        <v>44926</v>
      </c>
      <c r="AM200" s="351"/>
      <c r="AN200" s="351"/>
    </row>
    <row r="201" spans="1:40" ht="108">
      <c r="A201" s="342"/>
      <c r="B201" s="345"/>
      <c r="C201" s="345"/>
      <c r="D201" s="345"/>
      <c r="E201" s="345"/>
      <c r="F201" s="348"/>
      <c r="G201" s="345"/>
      <c r="H201" s="351"/>
      <c r="I201" s="354"/>
      <c r="J201" s="357"/>
      <c r="K201" s="360"/>
      <c r="L201" s="357">
        <v>0</v>
      </c>
      <c r="M201" s="354"/>
      <c r="N201" s="357"/>
      <c r="O201" s="363"/>
      <c r="P201" s="124">
        <v>3</v>
      </c>
      <c r="Q201" s="179" t="s">
        <v>605</v>
      </c>
      <c r="R201" s="125" t="s">
        <v>4</v>
      </c>
      <c r="S201" s="170" t="s">
        <v>14</v>
      </c>
      <c r="T201" s="170" t="s">
        <v>9</v>
      </c>
      <c r="U201" s="127" t="s">
        <v>346</v>
      </c>
      <c r="V201" s="170" t="s">
        <v>19</v>
      </c>
      <c r="W201" s="170" t="s">
        <v>23</v>
      </c>
      <c r="X201" s="170" t="s">
        <v>111</v>
      </c>
      <c r="Y201" s="128">
        <f>IFERROR(IF(AND(R200="Probabilidad",R201="Probabilidad"),(AA200-(+AA200*U201)),IF(AND(R200="Impacto",R201="Probabilidad"),(AA199-(+AA199*U201)),IF(R201="Impacto",AA200,""))),"")</f>
        <v>0.216</v>
      </c>
      <c r="Z201" s="129" t="s">
        <v>49</v>
      </c>
      <c r="AA201" s="130">
        <v>0.216</v>
      </c>
      <c r="AB201" s="129" t="s">
        <v>77</v>
      </c>
      <c r="AC201" s="130">
        <v>0.6</v>
      </c>
      <c r="AD201" s="131" t="s">
        <v>77</v>
      </c>
      <c r="AE201" s="183" t="s">
        <v>257</v>
      </c>
      <c r="AF201" s="179" t="s">
        <v>606</v>
      </c>
      <c r="AG201" s="171" t="s">
        <v>592</v>
      </c>
      <c r="AH201" s="171" t="s">
        <v>593</v>
      </c>
      <c r="AI201" s="175" t="s">
        <v>594</v>
      </c>
      <c r="AJ201" s="175" t="s">
        <v>595</v>
      </c>
      <c r="AK201" s="176">
        <v>44695</v>
      </c>
      <c r="AL201" s="176">
        <v>44926</v>
      </c>
      <c r="AM201" s="351"/>
      <c r="AN201" s="351"/>
    </row>
    <row r="202" spans="1:40" ht="67.5">
      <c r="A202" s="342"/>
      <c r="B202" s="345"/>
      <c r="C202" s="345"/>
      <c r="D202" s="345"/>
      <c r="E202" s="345"/>
      <c r="F202" s="348"/>
      <c r="G202" s="345"/>
      <c r="H202" s="351"/>
      <c r="I202" s="354"/>
      <c r="J202" s="357"/>
      <c r="K202" s="360"/>
      <c r="L202" s="357">
        <v>0</v>
      </c>
      <c r="M202" s="354"/>
      <c r="N202" s="357"/>
      <c r="O202" s="363"/>
      <c r="P202" s="124">
        <v>4</v>
      </c>
      <c r="Q202" s="178" t="s">
        <v>607</v>
      </c>
      <c r="R202" s="125" t="s">
        <v>4</v>
      </c>
      <c r="S202" s="170" t="s">
        <v>14</v>
      </c>
      <c r="T202" s="170" t="s">
        <v>9</v>
      </c>
      <c r="U202" s="127" t="s">
        <v>346</v>
      </c>
      <c r="V202" s="170" t="s">
        <v>19</v>
      </c>
      <c r="W202" s="170" t="s">
        <v>23</v>
      </c>
      <c r="X202" s="170" t="s">
        <v>111</v>
      </c>
      <c r="Y202" s="128">
        <f t="shared" ref="Y202:Y204" si="105">IFERROR(IF(AND(R201="Probabilidad",R202="Probabilidad"),(AA201-(+AA201*U202)),IF(AND(R201="Impacto",R202="Probabilidad"),(AA200-(+AA200*U202)),IF(R202="Impacto",AA201,""))),"")</f>
        <v>0.12959999999999999</v>
      </c>
      <c r="Z202" s="129" t="s">
        <v>47</v>
      </c>
      <c r="AA202" s="130">
        <v>0.12959999999999999</v>
      </c>
      <c r="AB202" s="129" t="s">
        <v>77</v>
      </c>
      <c r="AC202" s="130">
        <v>0.6</v>
      </c>
      <c r="AD202" s="131" t="s">
        <v>77</v>
      </c>
      <c r="AE202" s="183" t="s">
        <v>257</v>
      </c>
      <c r="AF202" s="184" t="s">
        <v>608</v>
      </c>
      <c r="AG202" s="171" t="s">
        <v>592</v>
      </c>
      <c r="AH202" s="171" t="s">
        <v>593</v>
      </c>
      <c r="AI202" s="175" t="s">
        <v>594</v>
      </c>
      <c r="AJ202" s="175" t="s">
        <v>595</v>
      </c>
      <c r="AK202" s="176">
        <v>44695</v>
      </c>
      <c r="AL202" s="176">
        <v>44926</v>
      </c>
      <c r="AM202" s="351"/>
      <c r="AN202" s="351"/>
    </row>
    <row r="203" spans="1:40">
      <c r="A203" s="342"/>
      <c r="B203" s="345"/>
      <c r="C203" s="345"/>
      <c r="D203" s="345"/>
      <c r="E203" s="345"/>
      <c r="F203" s="348"/>
      <c r="G203" s="345"/>
      <c r="H203" s="351"/>
      <c r="I203" s="354"/>
      <c r="J203" s="357"/>
      <c r="K203" s="360"/>
      <c r="L203" s="357">
        <v>0</v>
      </c>
      <c r="M203" s="354"/>
      <c r="N203" s="357"/>
      <c r="O203" s="363"/>
      <c r="P203" s="124">
        <v>5</v>
      </c>
      <c r="Q203" s="178"/>
      <c r="R203" s="125" t="s">
        <v>361</v>
      </c>
      <c r="S203" s="170"/>
      <c r="T203" s="170"/>
      <c r="U203" s="127" t="s">
        <v>361</v>
      </c>
      <c r="V203" s="170"/>
      <c r="W203" s="170"/>
      <c r="X203" s="170"/>
      <c r="Y203" s="128" t="str">
        <f t="shared" si="105"/>
        <v/>
      </c>
      <c r="Z203" s="129" t="s">
        <v>361</v>
      </c>
      <c r="AA203" s="130" t="s">
        <v>361</v>
      </c>
      <c r="AB203" s="129" t="s">
        <v>361</v>
      </c>
      <c r="AC203" s="130" t="s">
        <v>361</v>
      </c>
      <c r="AD203" s="131" t="s">
        <v>361</v>
      </c>
      <c r="AE203" s="183"/>
      <c r="AF203" s="184"/>
      <c r="AG203" s="175"/>
      <c r="AH203" s="175"/>
      <c r="AI203" s="175"/>
      <c r="AJ203" s="175"/>
      <c r="AK203" s="176"/>
      <c r="AL203" s="176"/>
      <c r="AM203" s="351"/>
      <c r="AN203" s="351"/>
    </row>
    <row r="204" spans="1:40">
      <c r="A204" s="343"/>
      <c r="B204" s="346"/>
      <c r="C204" s="346"/>
      <c r="D204" s="346"/>
      <c r="E204" s="346"/>
      <c r="F204" s="349"/>
      <c r="G204" s="346"/>
      <c r="H204" s="352"/>
      <c r="I204" s="355"/>
      <c r="J204" s="358"/>
      <c r="K204" s="361"/>
      <c r="L204" s="358">
        <v>0</v>
      </c>
      <c r="M204" s="355"/>
      <c r="N204" s="358"/>
      <c r="O204" s="364"/>
      <c r="P204" s="124">
        <v>6</v>
      </c>
      <c r="Q204" s="178"/>
      <c r="R204" s="125" t="s">
        <v>361</v>
      </c>
      <c r="S204" s="170"/>
      <c r="T204" s="170"/>
      <c r="U204" s="127" t="s">
        <v>361</v>
      </c>
      <c r="V204" s="170"/>
      <c r="W204" s="170"/>
      <c r="X204" s="170"/>
      <c r="Y204" s="128" t="str">
        <f t="shared" si="105"/>
        <v/>
      </c>
      <c r="Z204" s="129" t="s">
        <v>361</v>
      </c>
      <c r="AA204" s="130" t="s">
        <v>361</v>
      </c>
      <c r="AB204" s="129" t="s">
        <v>361</v>
      </c>
      <c r="AC204" s="130" t="s">
        <v>361</v>
      </c>
      <c r="AD204" s="131" t="s">
        <v>361</v>
      </c>
      <c r="AE204" s="183"/>
      <c r="AF204" s="184"/>
      <c r="AG204" s="175"/>
      <c r="AH204" s="175"/>
      <c r="AI204" s="175"/>
      <c r="AJ204" s="175"/>
      <c r="AK204" s="176"/>
      <c r="AL204" s="176"/>
      <c r="AM204" s="352"/>
      <c r="AN204" s="352"/>
    </row>
    <row r="205" spans="1:40" ht="108">
      <c r="A205" s="341">
        <v>33</v>
      </c>
      <c r="B205" s="344" t="s">
        <v>225</v>
      </c>
      <c r="C205" s="344" t="s">
        <v>123</v>
      </c>
      <c r="D205" s="344" t="s">
        <v>609</v>
      </c>
      <c r="E205" s="344" t="s">
        <v>610</v>
      </c>
      <c r="F205" s="347" t="s">
        <v>611</v>
      </c>
      <c r="G205" s="344" t="s">
        <v>120</v>
      </c>
      <c r="H205" s="350">
        <v>400000</v>
      </c>
      <c r="I205" s="353" t="s">
        <v>50</v>
      </c>
      <c r="J205" s="356">
        <v>1</v>
      </c>
      <c r="K205" s="359" t="s">
        <v>142</v>
      </c>
      <c r="L205" s="356" t="s">
        <v>142</v>
      </c>
      <c r="M205" s="353" t="s">
        <v>77</v>
      </c>
      <c r="N205" s="356">
        <v>0.6</v>
      </c>
      <c r="O205" s="362" t="s">
        <v>76</v>
      </c>
      <c r="P205" s="124">
        <v>1</v>
      </c>
      <c r="Q205" s="178" t="s">
        <v>612</v>
      </c>
      <c r="R205" s="125" t="s">
        <v>4</v>
      </c>
      <c r="S205" s="170" t="s">
        <v>14</v>
      </c>
      <c r="T205" s="170" t="s">
        <v>9</v>
      </c>
      <c r="U205" s="127" t="s">
        <v>346</v>
      </c>
      <c r="V205" s="170" t="s">
        <v>19</v>
      </c>
      <c r="W205" s="170" t="s">
        <v>23</v>
      </c>
      <c r="X205" s="170" t="s">
        <v>111</v>
      </c>
      <c r="Y205" s="128">
        <f>IFERROR(IF(R205="Probabilidad",(J205-(+J205*U205)),IF(R205="Impacto",J205,"")),"")</f>
        <v>0.6</v>
      </c>
      <c r="Z205" s="129" t="s">
        <v>99</v>
      </c>
      <c r="AA205" s="130">
        <v>0.6</v>
      </c>
      <c r="AB205" s="129" t="s">
        <v>77</v>
      </c>
      <c r="AC205" s="130">
        <v>0.6</v>
      </c>
      <c r="AD205" s="131" t="s">
        <v>77</v>
      </c>
      <c r="AE205" s="183" t="s">
        <v>257</v>
      </c>
      <c r="AF205" s="184" t="s">
        <v>613</v>
      </c>
      <c r="AG205" s="171" t="s">
        <v>592</v>
      </c>
      <c r="AH205" s="171" t="s">
        <v>593</v>
      </c>
      <c r="AI205" s="175" t="s">
        <v>594</v>
      </c>
      <c r="AJ205" s="175" t="s">
        <v>595</v>
      </c>
      <c r="AK205" s="176">
        <v>44695</v>
      </c>
      <c r="AL205" s="176">
        <v>44926</v>
      </c>
      <c r="AM205" s="350" t="s">
        <v>614</v>
      </c>
      <c r="AN205" s="350"/>
    </row>
    <row r="206" spans="1:40" ht="67.5">
      <c r="A206" s="342"/>
      <c r="B206" s="345"/>
      <c r="C206" s="345"/>
      <c r="D206" s="345"/>
      <c r="E206" s="345"/>
      <c r="F206" s="348"/>
      <c r="G206" s="345"/>
      <c r="H206" s="351"/>
      <c r="I206" s="354"/>
      <c r="J206" s="357"/>
      <c r="K206" s="360"/>
      <c r="L206" s="357">
        <v>0</v>
      </c>
      <c r="M206" s="354"/>
      <c r="N206" s="357"/>
      <c r="O206" s="363"/>
      <c r="P206" s="124">
        <v>2</v>
      </c>
      <c r="Q206" s="178" t="s">
        <v>615</v>
      </c>
      <c r="R206" s="125" t="s">
        <v>4</v>
      </c>
      <c r="S206" s="170" t="s">
        <v>14</v>
      </c>
      <c r="T206" s="170" t="s">
        <v>9</v>
      </c>
      <c r="U206" s="127" t="s">
        <v>346</v>
      </c>
      <c r="V206" s="170" t="s">
        <v>19</v>
      </c>
      <c r="W206" s="170" t="s">
        <v>23</v>
      </c>
      <c r="X206" s="170" t="s">
        <v>111</v>
      </c>
      <c r="Y206" s="128">
        <f>IFERROR(IF(AND(R205="Probabilidad",R206="Probabilidad"),(AA205-(+AA205*U206)),IF(R206="Probabilidad",(J205-(+J205*U206)),IF(R206="Impacto",AA205,""))),"")</f>
        <v>0.36</v>
      </c>
      <c r="Z206" s="129" t="s">
        <v>49</v>
      </c>
      <c r="AA206" s="130">
        <v>0.36</v>
      </c>
      <c r="AB206" s="129" t="s">
        <v>77</v>
      </c>
      <c r="AC206" s="130">
        <v>0.6</v>
      </c>
      <c r="AD206" s="131" t="s">
        <v>77</v>
      </c>
      <c r="AE206" s="183" t="s">
        <v>257</v>
      </c>
      <c r="AF206" s="184" t="s">
        <v>616</v>
      </c>
      <c r="AG206" s="171" t="s">
        <v>592</v>
      </c>
      <c r="AH206" s="171" t="s">
        <v>593</v>
      </c>
      <c r="AI206" s="175" t="s">
        <v>594</v>
      </c>
      <c r="AJ206" s="175" t="s">
        <v>595</v>
      </c>
      <c r="AK206" s="176">
        <v>44695</v>
      </c>
      <c r="AL206" s="176">
        <v>44926</v>
      </c>
      <c r="AM206" s="351"/>
      <c r="AN206" s="351"/>
    </row>
    <row r="207" spans="1:40">
      <c r="A207" s="342"/>
      <c r="B207" s="345"/>
      <c r="C207" s="345"/>
      <c r="D207" s="345"/>
      <c r="E207" s="345"/>
      <c r="F207" s="348"/>
      <c r="G207" s="345"/>
      <c r="H207" s="351"/>
      <c r="I207" s="354"/>
      <c r="J207" s="357"/>
      <c r="K207" s="360"/>
      <c r="L207" s="357">
        <v>0</v>
      </c>
      <c r="M207" s="354"/>
      <c r="N207" s="357"/>
      <c r="O207" s="363"/>
      <c r="P207" s="124">
        <v>3</v>
      </c>
      <c r="Q207" s="179"/>
      <c r="R207" s="125" t="s">
        <v>361</v>
      </c>
      <c r="S207" s="170"/>
      <c r="T207" s="170"/>
      <c r="U207" s="127" t="s">
        <v>361</v>
      </c>
      <c r="V207" s="170"/>
      <c r="W207" s="170"/>
      <c r="X207" s="170"/>
      <c r="Y207" s="128" t="str">
        <f>IFERROR(IF(AND(R206="Probabilidad",R207="Probabilidad"),(AA206-(+AA206*U207)),IF(AND(R206="Impacto",R207="Probabilidad"),(AA205-(+AA205*U207)),IF(R207="Impacto",AA206,""))),"")</f>
        <v/>
      </c>
      <c r="Z207" s="129" t="s">
        <v>361</v>
      </c>
      <c r="AA207" s="130" t="s">
        <v>361</v>
      </c>
      <c r="AB207" s="129" t="s">
        <v>361</v>
      </c>
      <c r="AC207" s="130" t="s">
        <v>361</v>
      </c>
      <c r="AD207" s="131" t="s">
        <v>361</v>
      </c>
      <c r="AE207" s="183"/>
      <c r="AF207" s="184"/>
      <c r="AG207" s="171"/>
      <c r="AH207" s="171"/>
      <c r="AI207" s="175"/>
      <c r="AJ207" s="175"/>
      <c r="AK207" s="176"/>
      <c r="AL207" s="176"/>
      <c r="AM207" s="351"/>
      <c r="AN207" s="351"/>
    </row>
    <row r="208" spans="1:40">
      <c r="A208" s="342"/>
      <c r="B208" s="345"/>
      <c r="C208" s="345"/>
      <c r="D208" s="345"/>
      <c r="E208" s="345"/>
      <c r="F208" s="348"/>
      <c r="G208" s="345"/>
      <c r="H208" s="351"/>
      <c r="I208" s="354"/>
      <c r="J208" s="357"/>
      <c r="K208" s="360"/>
      <c r="L208" s="357">
        <v>0</v>
      </c>
      <c r="M208" s="354"/>
      <c r="N208" s="357"/>
      <c r="O208" s="363"/>
      <c r="P208" s="124">
        <v>4</v>
      </c>
      <c r="Q208" s="178"/>
      <c r="R208" s="125" t="s">
        <v>361</v>
      </c>
      <c r="S208" s="170"/>
      <c r="T208" s="170"/>
      <c r="U208" s="127" t="s">
        <v>361</v>
      </c>
      <c r="V208" s="170"/>
      <c r="W208" s="170"/>
      <c r="X208" s="170"/>
      <c r="Y208" s="128" t="str">
        <f t="shared" ref="Y208:Y210" si="106">IFERROR(IF(AND(R207="Probabilidad",R208="Probabilidad"),(AA207-(+AA207*U208)),IF(AND(R207="Impacto",R208="Probabilidad"),(AA206-(+AA206*U208)),IF(R208="Impacto",AA207,""))),"")</f>
        <v/>
      </c>
      <c r="Z208" s="129" t="s">
        <v>361</v>
      </c>
      <c r="AA208" s="130" t="s">
        <v>361</v>
      </c>
      <c r="AB208" s="129" t="s">
        <v>361</v>
      </c>
      <c r="AC208" s="130" t="s">
        <v>361</v>
      </c>
      <c r="AD208" s="131" t="s">
        <v>361</v>
      </c>
      <c r="AE208" s="183"/>
      <c r="AF208" s="184"/>
      <c r="AG208" s="171"/>
      <c r="AH208" s="171"/>
      <c r="AI208" s="175"/>
      <c r="AJ208" s="175"/>
      <c r="AK208" s="176"/>
      <c r="AL208" s="176"/>
      <c r="AM208" s="351"/>
      <c r="AN208" s="351"/>
    </row>
    <row r="209" spans="1:40">
      <c r="A209" s="342"/>
      <c r="B209" s="345"/>
      <c r="C209" s="345"/>
      <c r="D209" s="345"/>
      <c r="E209" s="345"/>
      <c r="F209" s="348"/>
      <c r="G209" s="345"/>
      <c r="H209" s="351"/>
      <c r="I209" s="354"/>
      <c r="J209" s="357"/>
      <c r="K209" s="360"/>
      <c r="L209" s="357">
        <v>0</v>
      </c>
      <c r="M209" s="354"/>
      <c r="N209" s="357"/>
      <c r="O209" s="363"/>
      <c r="P209" s="124">
        <v>5</v>
      </c>
      <c r="Q209" s="178"/>
      <c r="R209" s="125" t="s">
        <v>361</v>
      </c>
      <c r="S209" s="170"/>
      <c r="T209" s="170"/>
      <c r="U209" s="127" t="s">
        <v>361</v>
      </c>
      <c r="V209" s="170"/>
      <c r="W209" s="170"/>
      <c r="X209" s="170"/>
      <c r="Y209" s="128" t="str">
        <f t="shared" si="106"/>
        <v/>
      </c>
      <c r="Z209" s="129" t="s">
        <v>361</v>
      </c>
      <c r="AA209" s="130" t="s">
        <v>361</v>
      </c>
      <c r="AB209" s="129" t="s">
        <v>361</v>
      </c>
      <c r="AC209" s="130" t="s">
        <v>361</v>
      </c>
      <c r="AD209" s="131" t="s">
        <v>361</v>
      </c>
      <c r="AE209" s="183"/>
      <c r="AF209" s="184"/>
      <c r="AG209" s="175"/>
      <c r="AH209" s="175"/>
      <c r="AI209" s="175"/>
      <c r="AJ209" s="175"/>
      <c r="AK209" s="176"/>
      <c r="AL209" s="176"/>
      <c r="AM209" s="351"/>
      <c r="AN209" s="351"/>
    </row>
    <row r="210" spans="1:40">
      <c r="A210" s="343"/>
      <c r="B210" s="346"/>
      <c r="C210" s="346"/>
      <c r="D210" s="346"/>
      <c r="E210" s="346"/>
      <c r="F210" s="349"/>
      <c r="G210" s="346"/>
      <c r="H210" s="352"/>
      <c r="I210" s="355"/>
      <c r="J210" s="358"/>
      <c r="K210" s="361"/>
      <c r="L210" s="358">
        <v>0</v>
      </c>
      <c r="M210" s="355"/>
      <c r="N210" s="358"/>
      <c r="O210" s="364"/>
      <c r="P210" s="124">
        <v>6</v>
      </c>
      <c r="Q210" s="178"/>
      <c r="R210" s="125" t="s">
        <v>361</v>
      </c>
      <c r="S210" s="170"/>
      <c r="T210" s="170"/>
      <c r="U210" s="127" t="s">
        <v>361</v>
      </c>
      <c r="V210" s="170"/>
      <c r="W210" s="170"/>
      <c r="X210" s="170"/>
      <c r="Y210" s="128" t="str">
        <f t="shared" si="106"/>
        <v/>
      </c>
      <c r="Z210" s="129" t="s">
        <v>361</v>
      </c>
      <c r="AA210" s="130" t="s">
        <v>361</v>
      </c>
      <c r="AB210" s="129" t="s">
        <v>361</v>
      </c>
      <c r="AC210" s="130" t="s">
        <v>361</v>
      </c>
      <c r="AD210" s="131" t="s">
        <v>361</v>
      </c>
      <c r="AE210" s="183"/>
      <c r="AF210" s="184"/>
      <c r="AG210" s="175"/>
      <c r="AH210" s="175"/>
      <c r="AI210" s="175"/>
      <c r="AJ210" s="175"/>
      <c r="AK210" s="176"/>
      <c r="AL210" s="176"/>
      <c r="AM210" s="352"/>
      <c r="AN210" s="352"/>
    </row>
    <row r="211" spans="1:40" ht="67.5">
      <c r="A211" s="341">
        <v>34</v>
      </c>
      <c r="B211" s="344" t="s">
        <v>225</v>
      </c>
      <c r="C211" s="344" t="s">
        <v>125</v>
      </c>
      <c r="D211" s="344" t="s">
        <v>617</v>
      </c>
      <c r="E211" s="344" t="s">
        <v>618</v>
      </c>
      <c r="F211" s="347" t="s">
        <v>619</v>
      </c>
      <c r="G211" s="344" t="s">
        <v>120</v>
      </c>
      <c r="H211" s="350">
        <v>30000</v>
      </c>
      <c r="I211" s="353" t="s">
        <v>50</v>
      </c>
      <c r="J211" s="356">
        <v>1</v>
      </c>
      <c r="K211" s="359" t="s">
        <v>142</v>
      </c>
      <c r="L211" s="356" t="s">
        <v>142</v>
      </c>
      <c r="M211" s="353" t="s">
        <v>77</v>
      </c>
      <c r="N211" s="356">
        <v>0.6</v>
      </c>
      <c r="O211" s="362" t="s">
        <v>76</v>
      </c>
      <c r="P211" s="124">
        <v>1</v>
      </c>
      <c r="Q211" s="178" t="s">
        <v>620</v>
      </c>
      <c r="R211" s="125" t="s">
        <v>4</v>
      </c>
      <c r="S211" s="170" t="s">
        <v>14</v>
      </c>
      <c r="T211" s="170" t="s">
        <v>9</v>
      </c>
      <c r="U211" s="127" t="s">
        <v>346</v>
      </c>
      <c r="V211" s="170" t="s">
        <v>19</v>
      </c>
      <c r="W211" s="170" t="s">
        <v>23</v>
      </c>
      <c r="X211" s="170" t="s">
        <v>111</v>
      </c>
      <c r="Y211" s="128">
        <f>IFERROR(IF(R211="Probabilidad",(J211-(+J211*U211)),IF(R211="Impacto",J211,"")),"")</f>
        <v>0.6</v>
      </c>
      <c r="Z211" s="129" t="s">
        <v>99</v>
      </c>
      <c r="AA211" s="130">
        <v>0.6</v>
      </c>
      <c r="AB211" s="129" t="s">
        <v>77</v>
      </c>
      <c r="AC211" s="130">
        <v>0.6</v>
      </c>
      <c r="AD211" s="131" t="s">
        <v>77</v>
      </c>
      <c r="AE211" s="183" t="s">
        <v>257</v>
      </c>
      <c r="AF211" s="178" t="s">
        <v>621</v>
      </c>
      <c r="AG211" s="171" t="s">
        <v>592</v>
      </c>
      <c r="AH211" s="171" t="s">
        <v>593</v>
      </c>
      <c r="AI211" s="175" t="s">
        <v>594</v>
      </c>
      <c r="AJ211" s="175" t="s">
        <v>595</v>
      </c>
      <c r="AK211" s="176">
        <v>44695</v>
      </c>
      <c r="AL211" s="176">
        <v>44926</v>
      </c>
      <c r="AM211" s="350" t="s">
        <v>622</v>
      </c>
      <c r="AN211" s="350"/>
    </row>
    <row r="212" spans="1:40" ht="108">
      <c r="A212" s="342"/>
      <c r="B212" s="345"/>
      <c r="C212" s="345"/>
      <c r="D212" s="345"/>
      <c r="E212" s="345"/>
      <c r="F212" s="348"/>
      <c r="G212" s="345"/>
      <c r="H212" s="351"/>
      <c r="I212" s="354"/>
      <c r="J212" s="357"/>
      <c r="K212" s="360"/>
      <c r="L212" s="357">
        <v>0</v>
      </c>
      <c r="M212" s="354"/>
      <c r="N212" s="357"/>
      <c r="O212" s="363"/>
      <c r="P212" s="124">
        <v>2</v>
      </c>
      <c r="Q212" s="178" t="s">
        <v>623</v>
      </c>
      <c r="R212" s="125" t="s">
        <v>4</v>
      </c>
      <c r="S212" s="170" t="s">
        <v>14</v>
      </c>
      <c r="T212" s="170" t="s">
        <v>9</v>
      </c>
      <c r="U212" s="127" t="s">
        <v>346</v>
      </c>
      <c r="V212" s="170" t="s">
        <v>19</v>
      </c>
      <c r="W212" s="170" t="s">
        <v>23</v>
      </c>
      <c r="X212" s="170" t="s">
        <v>111</v>
      </c>
      <c r="Y212" s="128">
        <f>IFERROR(IF(AND(R211="Probabilidad",R212="Probabilidad"),(AA211-(+AA211*U212)),IF(R212="Probabilidad",(J211-(+J211*U212)),IF(R212="Impacto",AA211,""))),"")</f>
        <v>0.36</v>
      </c>
      <c r="Z212" s="129" t="s">
        <v>49</v>
      </c>
      <c r="AA212" s="130">
        <v>0.36</v>
      </c>
      <c r="AB212" s="129" t="s">
        <v>77</v>
      </c>
      <c r="AC212" s="130">
        <v>0.6</v>
      </c>
      <c r="AD212" s="131" t="s">
        <v>77</v>
      </c>
      <c r="AE212" s="183" t="s">
        <v>257</v>
      </c>
      <c r="AF212" s="178" t="s">
        <v>624</v>
      </c>
      <c r="AG212" s="171" t="s">
        <v>592</v>
      </c>
      <c r="AH212" s="171" t="s">
        <v>593</v>
      </c>
      <c r="AI212" s="175" t="s">
        <v>594</v>
      </c>
      <c r="AJ212" s="175" t="s">
        <v>595</v>
      </c>
      <c r="AK212" s="176">
        <v>44695</v>
      </c>
      <c r="AL212" s="176">
        <v>44926</v>
      </c>
      <c r="AM212" s="351"/>
      <c r="AN212" s="351"/>
    </row>
    <row r="213" spans="1:40" ht="135">
      <c r="A213" s="342"/>
      <c r="B213" s="345"/>
      <c r="C213" s="345"/>
      <c r="D213" s="345"/>
      <c r="E213" s="345"/>
      <c r="F213" s="348"/>
      <c r="G213" s="345"/>
      <c r="H213" s="351"/>
      <c r="I213" s="354"/>
      <c r="J213" s="357"/>
      <c r="K213" s="360"/>
      <c r="L213" s="357">
        <v>0</v>
      </c>
      <c r="M213" s="354"/>
      <c r="N213" s="357"/>
      <c r="O213" s="363"/>
      <c r="P213" s="124">
        <v>3</v>
      </c>
      <c r="Q213" s="178" t="s">
        <v>625</v>
      </c>
      <c r="R213" s="125" t="s">
        <v>4</v>
      </c>
      <c r="S213" s="170" t="s">
        <v>14</v>
      </c>
      <c r="T213" s="170" t="s">
        <v>9</v>
      </c>
      <c r="U213" s="127" t="s">
        <v>346</v>
      </c>
      <c r="V213" s="170" t="s">
        <v>19</v>
      </c>
      <c r="W213" s="170" t="s">
        <v>23</v>
      </c>
      <c r="X213" s="170" t="s">
        <v>111</v>
      </c>
      <c r="Y213" s="128">
        <f>IFERROR(IF(AND(R212="Probabilidad",R213="Probabilidad"),(AA212-(+AA212*U213)),IF(AND(R212="Impacto",R213="Probabilidad"),(AA211-(+AA211*U213)),IF(R213="Impacto",AA212,""))),"")</f>
        <v>0.216</v>
      </c>
      <c r="Z213" s="129" t="s">
        <v>49</v>
      </c>
      <c r="AA213" s="130">
        <v>0.216</v>
      </c>
      <c r="AB213" s="129" t="s">
        <v>77</v>
      </c>
      <c r="AC213" s="130">
        <v>0.6</v>
      </c>
      <c r="AD213" s="131" t="s">
        <v>77</v>
      </c>
      <c r="AE213" s="183" t="s">
        <v>257</v>
      </c>
      <c r="AF213" s="178" t="s">
        <v>626</v>
      </c>
      <c r="AG213" s="171" t="s">
        <v>592</v>
      </c>
      <c r="AH213" s="171" t="s">
        <v>593</v>
      </c>
      <c r="AI213" s="175" t="s">
        <v>594</v>
      </c>
      <c r="AJ213" s="175" t="s">
        <v>595</v>
      </c>
      <c r="AK213" s="176">
        <v>44695</v>
      </c>
      <c r="AL213" s="176">
        <v>44926</v>
      </c>
      <c r="AM213" s="351"/>
      <c r="AN213" s="351"/>
    </row>
    <row r="214" spans="1:40">
      <c r="A214" s="342"/>
      <c r="B214" s="345"/>
      <c r="C214" s="345"/>
      <c r="D214" s="345"/>
      <c r="E214" s="345"/>
      <c r="F214" s="348"/>
      <c r="G214" s="345"/>
      <c r="H214" s="351"/>
      <c r="I214" s="354"/>
      <c r="J214" s="357"/>
      <c r="K214" s="360"/>
      <c r="L214" s="357">
        <v>0</v>
      </c>
      <c r="M214" s="354"/>
      <c r="N214" s="357"/>
      <c r="O214" s="363"/>
      <c r="P214" s="124">
        <v>4</v>
      </c>
      <c r="Q214" s="178"/>
      <c r="R214" s="125" t="s">
        <v>361</v>
      </c>
      <c r="S214" s="170"/>
      <c r="T214" s="170"/>
      <c r="U214" s="127" t="s">
        <v>361</v>
      </c>
      <c r="V214" s="170"/>
      <c r="W214" s="170"/>
      <c r="X214" s="170"/>
      <c r="Y214" s="128" t="str">
        <f t="shared" ref="Y214:Y216" si="107">IFERROR(IF(AND(R213="Probabilidad",R214="Probabilidad"),(AA213-(+AA213*U214)),IF(AND(R213="Impacto",R214="Probabilidad"),(AA212-(+AA212*U214)),IF(R214="Impacto",AA213,""))),"")</f>
        <v/>
      </c>
      <c r="Z214" s="129" t="s">
        <v>361</v>
      </c>
      <c r="AA214" s="130" t="s">
        <v>361</v>
      </c>
      <c r="AB214" s="129" t="s">
        <v>361</v>
      </c>
      <c r="AC214" s="130" t="s">
        <v>361</v>
      </c>
      <c r="AD214" s="131" t="s">
        <v>361</v>
      </c>
      <c r="AE214" s="183"/>
      <c r="AF214" s="184"/>
      <c r="AG214" s="175"/>
      <c r="AH214" s="175"/>
      <c r="AI214" s="175"/>
      <c r="AJ214" s="175"/>
      <c r="AK214" s="176"/>
      <c r="AL214" s="176"/>
      <c r="AM214" s="351"/>
      <c r="AN214" s="351"/>
    </row>
    <row r="215" spans="1:40">
      <c r="A215" s="342"/>
      <c r="B215" s="345"/>
      <c r="C215" s="345"/>
      <c r="D215" s="345"/>
      <c r="E215" s="345"/>
      <c r="F215" s="348"/>
      <c r="G215" s="345"/>
      <c r="H215" s="351"/>
      <c r="I215" s="354"/>
      <c r="J215" s="357"/>
      <c r="K215" s="360"/>
      <c r="L215" s="357">
        <v>0</v>
      </c>
      <c r="M215" s="354"/>
      <c r="N215" s="357"/>
      <c r="O215" s="363"/>
      <c r="P215" s="124">
        <v>5</v>
      </c>
      <c r="Q215" s="178"/>
      <c r="R215" s="125" t="s">
        <v>361</v>
      </c>
      <c r="S215" s="170"/>
      <c r="T215" s="170"/>
      <c r="U215" s="127" t="s">
        <v>361</v>
      </c>
      <c r="V215" s="170"/>
      <c r="W215" s="170"/>
      <c r="X215" s="170"/>
      <c r="Y215" s="128" t="str">
        <f t="shared" si="107"/>
        <v/>
      </c>
      <c r="Z215" s="129" t="s">
        <v>361</v>
      </c>
      <c r="AA215" s="130" t="s">
        <v>361</v>
      </c>
      <c r="AB215" s="129" t="s">
        <v>361</v>
      </c>
      <c r="AC215" s="130" t="s">
        <v>361</v>
      </c>
      <c r="AD215" s="131" t="s">
        <v>361</v>
      </c>
      <c r="AE215" s="183"/>
      <c r="AF215" s="184"/>
      <c r="AG215" s="175"/>
      <c r="AH215" s="175"/>
      <c r="AI215" s="175"/>
      <c r="AJ215" s="175"/>
      <c r="AK215" s="176"/>
      <c r="AL215" s="176"/>
      <c r="AM215" s="351"/>
      <c r="AN215" s="351"/>
    </row>
    <row r="216" spans="1:40">
      <c r="A216" s="343"/>
      <c r="B216" s="346"/>
      <c r="C216" s="346"/>
      <c r="D216" s="346"/>
      <c r="E216" s="346"/>
      <c r="F216" s="349"/>
      <c r="G216" s="346"/>
      <c r="H216" s="352"/>
      <c r="I216" s="355"/>
      <c r="J216" s="358"/>
      <c r="K216" s="361"/>
      <c r="L216" s="358">
        <v>0</v>
      </c>
      <c r="M216" s="355"/>
      <c r="N216" s="358"/>
      <c r="O216" s="364"/>
      <c r="P216" s="124">
        <v>6</v>
      </c>
      <c r="Q216" s="178"/>
      <c r="R216" s="125" t="s">
        <v>361</v>
      </c>
      <c r="S216" s="170"/>
      <c r="T216" s="170"/>
      <c r="U216" s="127" t="s">
        <v>361</v>
      </c>
      <c r="V216" s="170"/>
      <c r="W216" s="170"/>
      <c r="X216" s="170"/>
      <c r="Y216" s="128" t="str">
        <f t="shared" si="107"/>
        <v/>
      </c>
      <c r="Z216" s="129" t="s">
        <v>361</v>
      </c>
      <c r="AA216" s="130" t="s">
        <v>361</v>
      </c>
      <c r="AB216" s="129" t="s">
        <v>361</v>
      </c>
      <c r="AC216" s="130" t="s">
        <v>361</v>
      </c>
      <c r="AD216" s="131" t="s">
        <v>361</v>
      </c>
      <c r="AE216" s="183"/>
      <c r="AF216" s="184"/>
      <c r="AG216" s="175"/>
      <c r="AH216" s="175"/>
      <c r="AI216" s="175"/>
      <c r="AJ216" s="175"/>
      <c r="AK216" s="176"/>
      <c r="AL216" s="176"/>
      <c r="AM216" s="352"/>
      <c r="AN216" s="352"/>
    </row>
    <row r="217" spans="1:40" ht="67.5">
      <c r="A217" s="341">
        <v>35</v>
      </c>
      <c r="B217" s="344" t="s">
        <v>218</v>
      </c>
      <c r="C217" s="344" t="s">
        <v>125</v>
      </c>
      <c r="D217" s="344" t="s">
        <v>627</v>
      </c>
      <c r="E217" s="344" t="s">
        <v>628</v>
      </c>
      <c r="F217" s="347" t="s">
        <v>629</v>
      </c>
      <c r="G217" s="344" t="s">
        <v>115</v>
      </c>
      <c r="H217" s="350">
        <v>51</v>
      </c>
      <c r="I217" s="353" t="s">
        <v>99</v>
      </c>
      <c r="J217" s="356">
        <v>0.6</v>
      </c>
      <c r="K217" s="359" t="s">
        <v>143</v>
      </c>
      <c r="L217" s="356" t="s">
        <v>143</v>
      </c>
      <c r="M217" s="353" t="s">
        <v>7</v>
      </c>
      <c r="N217" s="356">
        <v>0.8</v>
      </c>
      <c r="O217" s="362" t="s">
        <v>76</v>
      </c>
      <c r="P217" s="124">
        <v>1</v>
      </c>
      <c r="Q217" s="178" t="s">
        <v>630</v>
      </c>
      <c r="R217" s="125" t="s">
        <v>4</v>
      </c>
      <c r="S217" s="170" t="s">
        <v>14</v>
      </c>
      <c r="T217" s="170" t="s">
        <v>9</v>
      </c>
      <c r="U217" s="127" t="s">
        <v>346</v>
      </c>
      <c r="V217" s="170" t="s">
        <v>19</v>
      </c>
      <c r="W217" s="170" t="s">
        <v>22</v>
      </c>
      <c r="X217" s="170" t="s">
        <v>111</v>
      </c>
      <c r="Y217" s="128">
        <f>IFERROR(IF(R217="Probabilidad",(J217-(+J217*U217)),IF(R217="Impacto",J217,"")),"")</f>
        <v>0.36</v>
      </c>
      <c r="Z217" s="129" t="s">
        <v>49</v>
      </c>
      <c r="AA217" s="130">
        <v>0.36</v>
      </c>
      <c r="AB217" s="129" t="s">
        <v>7</v>
      </c>
      <c r="AC217" s="130">
        <v>0.8</v>
      </c>
      <c r="AD217" s="131" t="s">
        <v>76</v>
      </c>
      <c r="AE217" s="183" t="s">
        <v>257</v>
      </c>
      <c r="AF217" s="184" t="s">
        <v>631</v>
      </c>
      <c r="AG217" s="175" t="s">
        <v>632</v>
      </c>
      <c r="AH217" s="175" t="s">
        <v>633</v>
      </c>
      <c r="AI217" s="175" t="s">
        <v>403</v>
      </c>
      <c r="AJ217" s="175" t="s">
        <v>634</v>
      </c>
      <c r="AK217" s="176">
        <v>44678</v>
      </c>
      <c r="AL217" s="176">
        <v>44895</v>
      </c>
      <c r="AM217" s="350">
        <v>4051</v>
      </c>
      <c r="AN217" s="350"/>
    </row>
    <row r="218" spans="1:40" ht="81">
      <c r="A218" s="342"/>
      <c r="B218" s="345"/>
      <c r="C218" s="345"/>
      <c r="D218" s="345"/>
      <c r="E218" s="345"/>
      <c r="F218" s="348"/>
      <c r="G218" s="345"/>
      <c r="H218" s="351"/>
      <c r="I218" s="354"/>
      <c r="J218" s="357"/>
      <c r="K218" s="360"/>
      <c r="L218" s="357">
        <v>0</v>
      </c>
      <c r="M218" s="354"/>
      <c r="N218" s="357"/>
      <c r="O218" s="363"/>
      <c r="P218" s="124">
        <v>2</v>
      </c>
      <c r="Q218" s="178"/>
      <c r="R218" s="125" t="s">
        <v>361</v>
      </c>
      <c r="S218" s="170"/>
      <c r="T218" s="170"/>
      <c r="U218" s="127" t="s">
        <v>361</v>
      </c>
      <c r="V218" s="170"/>
      <c r="W218" s="170"/>
      <c r="X218" s="170"/>
      <c r="Y218" s="128" t="str">
        <f>IFERROR(IF(AND(R217="Probabilidad",R218="Probabilidad"),(AA217-(+AA217*U218)),IF(R218="Probabilidad",(J217-(+J217*U218)),IF(R218="Impacto",AA217,""))),"")</f>
        <v/>
      </c>
      <c r="Z218" s="129" t="s">
        <v>361</v>
      </c>
      <c r="AA218" s="130" t="s">
        <v>361</v>
      </c>
      <c r="AB218" s="129" t="s">
        <v>361</v>
      </c>
      <c r="AC218" s="130" t="s">
        <v>361</v>
      </c>
      <c r="AD218" s="131" t="s">
        <v>361</v>
      </c>
      <c r="AE218" s="183"/>
      <c r="AF218" s="184" t="s">
        <v>635</v>
      </c>
      <c r="AG218" s="175" t="s">
        <v>632</v>
      </c>
      <c r="AH218" s="175" t="s">
        <v>633</v>
      </c>
      <c r="AI218" s="175" t="s">
        <v>403</v>
      </c>
      <c r="AJ218" s="175" t="s">
        <v>634</v>
      </c>
      <c r="AK218" s="176">
        <v>44678</v>
      </c>
      <c r="AL218" s="176">
        <v>44895</v>
      </c>
      <c r="AM218" s="351"/>
      <c r="AN218" s="351"/>
    </row>
    <row r="219" spans="1:40" ht="40.5">
      <c r="A219" s="342"/>
      <c r="B219" s="345"/>
      <c r="C219" s="345"/>
      <c r="D219" s="345"/>
      <c r="E219" s="345"/>
      <c r="F219" s="348"/>
      <c r="G219" s="345"/>
      <c r="H219" s="351"/>
      <c r="I219" s="354"/>
      <c r="J219" s="357"/>
      <c r="K219" s="360"/>
      <c r="L219" s="357">
        <v>0</v>
      </c>
      <c r="M219" s="354"/>
      <c r="N219" s="357"/>
      <c r="O219" s="363"/>
      <c r="P219" s="124">
        <v>3</v>
      </c>
      <c r="Q219" s="178"/>
      <c r="R219" s="125" t="s">
        <v>361</v>
      </c>
      <c r="S219" s="170"/>
      <c r="T219" s="170"/>
      <c r="U219" s="127" t="s">
        <v>361</v>
      </c>
      <c r="V219" s="170"/>
      <c r="W219" s="170"/>
      <c r="X219" s="170"/>
      <c r="Y219" s="128" t="str">
        <f>IFERROR(IF(AND(R218="Probabilidad",R219="Probabilidad"),(AA218-(+AA218*U219)),IF(AND(R218="Impacto",R219="Probabilidad"),(AA217-(+AA217*U219)),IF(R219="Impacto",AA218,""))),"")</f>
        <v/>
      </c>
      <c r="Z219" s="129" t="s">
        <v>361</v>
      </c>
      <c r="AA219" s="130" t="s">
        <v>361</v>
      </c>
      <c r="AB219" s="129" t="s">
        <v>361</v>
      </c>
      <c r="AC219" s="130" t="s">
        <v>361</v>
      </c>
      <c r="AD219" s="131" t="s">
        <v>361</v>
      </c>
      <c r="AE219" s="183"/>
      <c r="AF219" s="184" t="s">
        <v>636</v>
      </c>
      <c r="AG219" s="175" t="s">
        <v>637</v>
      </c>
      <c r="AH219" s="175" t="s">
        <v>638</v>
      </c>
      <c r="AI219" s="175" t="s">
        <v>639</v>
      </c>
      <c r="AJ219" s="175" t="s">
        <v>634</v>
      </c>
      <c r="AK219" s="176">
        <v>44678</v>
      </c>
      <c r="AL219" s="176">
        <v>44895</v>
      </c>
      <c r="AM219" s="351"/>
      <c r="AN219" s="351"/>
    </row>
    <row r="220" spans="1:40">
      <c r="A220" s="342"/>
      <c r="B220" s="345"/>
      <c r="C220" s="345"/>
      <c r="D220" s="345"/>
      <c r="E220" s="345"/>
      <c r="F220" s="348"/>
      <c r="G220" s="345"/>
      <c r="H220" s="351"/>
      <c r="I220" s="354"/>
      <c r="J220" s="357"/>
      <c r="K220" s="360"/>
      <c r="L220" s="357">
        <v>0</v>
      </c>
      <c r="M220" s="354"/>
      <c r="N220" s="357"/>
      <c r="O220" s="363"/>
      <c r="P220" s="124">
        <v>4</v>
      </c>
      <c r="Q220" s="178"/>
      <c r="R220" s="125" t="s">
        <v>361</v>
      </c>
      <c r="S220" s="170"/>
      <c r="T220" s="170"/>
      <c r="U220" s="127" t="s">
        <v>361</v>
      </c>
      <c r="V220" s="170"/>
      <c r="W220" s="170"/>
      <c r="X220" s="170"/>
      <c r="Y220" s="128" t="str">
        <f t="shared" ref="Y220:Y222" si="108">IFERROR(IF(AND(R219="Probabilidad",R220="Probabilidad"),(AA219-(+AA219*U220)),IF(AND(R219="Impacto",R220="Probabilidad"),(AA218-(+AA218*U220)),IF(R220="Impacto",AA219,""))),"")</f>
        <v/>
      </c>
      <c r="Z220" s="129" t="s">
        <v>361</v>
      </c>
      <c r="AA220" s="130" t="s">
        <v>361</v>
      </c>
      <c r="AB220" s="129" t="s">
        <v>361</v>
      </c>
      <c r="AC220" s="130" t="s">
        <v>361</v>
      </c>
      <c r="AD220" s="131" t="s">
        <v>361</v>
      </c>
      <c r="AE220" s="183"/>
      <c r="AF220" s="184"/>
      <c r="AG220" s="175"/>
      <c r="AH220" s="175"/>
      <c r="AI220" s="175"/>
      <c r="AJ220" s="175"/>
      <c r="AK220" s="176"/>
      <c r="AL220" s="176"/>
      <c r="AM220" s="351"/>
      <c r="AN220" s="351"/>
    </row>
    <row r="221" spans="1:40">
      <c r="A221" s="342"/>
      <c r="B221" s="345"/>
      <c r="C221" s="345"/>
      <c r="D221" s="345"/>
      <c r="E221" s="345"/>
      <c r="F221" s="348"/>
      <c r="G221" s="345"/>
      <c r="H221" s="351"/>
      <c r="I221" s="354"/>
      <c r="J221" s="357"/>
      <c r="K221" s="360"/>
      <c r="L221" s="357">
        <v>0</v>
      </c>
      <c r="M221" s="354"/>
      <c r="N221" s="357"/>
      <c r="O221" s="363"/>
      <c r="P221" s="124">
        <v>5</v>
      </c>
      <c r="Q221" s="178"/>
      <c r="R221" s="125" t="s">
        <v>361</v>
      </c>
      <c r="S221" s="170"/>
      <c r="T221" s="170"/>
      <c r="U221" s="127" t="s">
        <v>361</v>
      </c>
      <c r="V221" s="170"/>
      <c r="W221" s="170"/>
      <c r="X221" s="170"/>
      <c r="Y221" s="128" t="str">
        <f t="shared" si="108"/>
        <v/>
      </c>
      <c r="Z221" s="129" t="s">
        <v>361</v>
      </c>
      <c r="AA221" s="130" t="s">
        <v>361</v>
      </c>
      <c r="AB221" s="129" t="s">
        <v>361</v>
      </c>
      <c r="AC221" s="130" t="s">
        <v>361</v>
      </c>
      <c r="AD221" s="131" t="s">
        <v>361</v>
      </c>
      <c r="AE221" s="183"/>
      <c r="AF221" s="184"/>
      <c r="AG221" s="175"/>
      <c r="AH221" s="175"/>
      <c r="AI221" s="175"/>
      <c r="AJ221" s="175"/>
      <c r="AK221" s="176"/>
      <c r="AL221" s="176"/>
      <c r="AM221" s="351"/>
      <c r="AN221" s="351"/>
    </row>
    <row r="222" spans="1:40">
      <c r="A222" s="343"/>
      <c r="B222" s="346"/>
      <c r="C222" s="346"/>
      <c r="D222" s="346"/>
      <c r="E222" s="346"/>
      <c r="F222" s="349"/>
      <c r="G222" s="346"/>
      <c r="H222" s="352"/>
      <c r="I222" s="355"/>
      <c r="J222" s="358"/>
      <c r="K222" s="361"/>
      <c r="L222" s="358">
        <v>0</v>
      </c>
      <c r="M222" s="355"/>
      <c r="N222" s="358"/>
      <c r="O222" s="364"/>
      <c r="P222" s="124">
        <v>6</v>
      </c>
      <c r="Q222" s="178"/>
      <c r="R222" s="125" t="s">
        <v>361</v>
      </c>
      <c r="S222" s="170"/>
      <c r="T222" s="170"/>
      <c r="U222" s="127" t="s">
        <v>361</v>
      </c>
      <c r="V222" s="170"/>
      <c r="W222" s="170"/>
      <c r="X222" s="170"/>
      <c r="Y222" s="128" t="str">
        <f t="shared" si="108"/>
        <v/>
      </c>
      <c r="Z222" s="129" t="s">
        <v>361</v>
      </c>
      <c r="AA222" s="130" t="s">
        <v>361</v>
      </c>
      <c r="AB222" s="129" t="s">
        <v>361</v>
      </c>
      <c r="AC222" s="130" t="s">
        <v>361</v>
      </c>
      <c r="AD222" s="131" t="s">
        <v>361</v>
      </c>
      <c r="AE222" s="183"/>
      <c r="AF222" s="184"/>
      <c r="AG222" s="175"/>
      <c r="AH222" s="175"/>
      <c r="AI222" s="175"/>
      <c r="AJ222" s="175"/>
      <c r="AK222" s="176"/>
      <c r="AL222" s="176"/>
      <c r="AM222" s="352"/>
      <c r="AN222" s="352"/>
    </row>
    <row r="223" spans="1:40" ht="67.5" customHeight="1">
      <c r="A223" s="341">
        <v>36</v>
      </c>
      <c r="B223" s="344" t="s">
        <v>218</v>
      </c>
      <c r="C223" s="344" t="s">
        <v>125</v>
      </c>
      <c r="D223" s="344" t="s">
        <v>640</v>
      </c>
      <c r="E223" s="344" t="s">
        <v>641</v>
      </c>
      <c r="F223" s="347" t="s">
        <v>642</v>
      </c>
      <c r="G223" s="344" t="s">
        <v>115</v>
      </c>
      <c r="H223" s="350">
        <v>19</v>
      </c>
      <c r="I223" s="365" t="s">
        <v>49</v>
      </c>
      <c r="J223" s="356">
        <v>0.4</v>
      </c>
      <c r="K223" s="359" t="s">
        <v>141</v>
      </c>
      <c r="L223" s="356" t="s">
        <v>141</v>
      </c>
      <c r="M223" s="365" t="s">
        <v>80</v>
      </c>
      <c r="N223" s="356">
        <v>0.4</v>
      </c>
      <c r="O223" s="362" t="s">
        <v>77</v>
      </c>
      <c r="P223" s="291">
        <v>1</v>
      </c>
      <c r="Q223" s="224" t="s">
        <v>643</v>
      </c>
      <c r="R223" s="227" t="s">
        <v>4</v>
      </c>
      <c r="S223" s="228" t="s">
        <v>14</v>
      </c>
      <c r="T223" s="228" t="s">
        <v>9</v>
      </c>
      <c r="U223" s="229" t="s">
        <v>346</v>
      </c>
      <c r="V223" s="228" t="s">
        <v>19</v>
      </c>
      <c r="W223" s="228" t="s">
        <v>22</v>
      </c>
      <c r="X223" s="228" t="s">
        <v>111</v>
      </c>
      <c r="Y223" s="230">
        <f>IFERROR(IF(R223="Probabilidad",(J223-(+J223*U223)),IF(R223="Impacto",J223,"")),"")</f>
        <v>0.24</v>
      </c>
      <c r="Z223" s="292" t="s">
        <v>49</v>
      </c>
      <c r="AA223" s="232">
        <v>0.24</v>
      </c>
      <c r="AB223" s="292" t="s">
        <v>80</v>
      </c>
      <c r="AC223" s="232">
        <v>0.4</v>
      </c>
      <c r="AD223" s="233" t="s">
        <v>77</v>
      </c>
      <c r="AE223" s="290" t="s">
        <v>257</v>
      </c>
      <c r="AF223" s="289" t="s">
        <v>644</v>
      </c>
      <c r="AG223" s="236" t="s">
        <v>645</v>
      </c>
      <c r="AH223" s="236" t="s">
        <v>377</v>
      </c>
      <c r="AI223" s="236" t="s">
        <v>646</v>
      </c>
      <c r="AJ223" s="236" t="s">
        <v>637</v>
      </c>
      <c r="AK223" s="237">
        <v>44678</v>
      </c>
      <c r="AL223" s="237">
        <v>44895</v>
      </c>
      <c r="AM223" s="350">
        <v>4052</v>
      </c>
      <c r="AN223" s="368">
        <v>44791</v>
      </c>
    </row>
    <row r="224" spans="1:40" ht="108">
      <c r="A224" s="342"/>
      <c r="B224" s="345"/>
      <c r="C224" s="345"/>
      <c r="D224" s="345"/>
      <c r="E224" s="345"/>
      <c r="F224" s="348"/>
      <c r="G224" s="345"/>
      <c r="H224" s="351"/>
      <c r="I224" s="366"/>
      <c r="J224" s="357"/>
      <c r="K224" s="360"/>
      <c r="L224" s="357">
        <v>0</v>
      </c>
      <c r="M224" s="366"/>
      <c r="N224" s="357"/>
      <c r="O224" s="363"/>
      <c r="P224" s="291">
        <v>2</v>
      </c>
      <c r="Q224" s="224" t="s">
        <v>647</v>
      </c>
      <c r="R224" s="227" t="s">
        <v>4</v>
      </c>
      <c r="S224" s="228" t="s">
        <v>15</v>
      </c>
      <c r="T224" s="228" t="s">
        <v>9</v>
      </c>
      <c r="U224" s="229" t="s">
        <v>352</v>
      </c>
      <c r="V224" s="228" t="s">
        <v>19</v>
      </c>
      <c r="W224" s="228" t="s">
        <v>22</v>
      </c>
      <c r="X224" s="228" t="s">
        <v>111</v>
      </c>
      <c r="Y224" s="230">
        <f>IFERROR(IF(AND(R223="Probabilidad",R224="Probabilidad"),(AA223-(+AA223*U224)),IF(R224="Probabilidad",(J223-(+J223*U224)),IF(R224="Impacto",AA223,""))),"")</f>
        <v>0.16799999999999998</v>
      </c>
      <c r="Z224" s="292" t="s">
        <v>47</v>
      </c>
      <c r="AA224" s="232">
        <v>0.16799999999999998</v>
      </c>
      <c r="AB224" s="292" t="s">
        <v>80</v>
      </c>
      <c r="AC224" s="232">
        <v>0.4</v>
      </c>
      <c r="AD224" s="233" t="s">
        <v>78</v>
      </c>
      <c r="AE224" s="290" t="s">
        <v>257</v>
      </c>
      <c r="AF224" s="289" t="s">
        <v>648</v>
      </c>
      <c r="AG224" s="236" t="s">
        <v>649</v>
      </c>
      <c r="AH224" s="236" t="s">
        <v>650</v>
      </c>
      <c r="AI224" s="236" t="s">
        <v>646</v>
      </c>
      <c r="AJ224" s="236" t="s">
        <v>637</v>
      </c>
      <c r="AK224" s="237">
        <v>44658</v>
      </c>
      <c r="AL224" s="237" t="s">
        <v>651</v>
      </c>
      <c r="AM224" s="351"/>
      <c r="AN224" s="351"/>
    </row>
    <row r="225" spans="1:40" ht="121.5">
      <c r="A225" s="342"/>
      <c r="B225" s="345"/>
      <c r="C225" s="345"/>
      <c r="D225" s="345"/>
      <c r="E225" s="345"/>
      <c r="F225" s="348"/>
      <c r="G225" s="345"/>
      <c r="H225" s="351"/>
      <c r="I225" s="366"/>
      <c r="J225" s="357"/>
      <c r="K225" s="360"/>
      <c r="L225" s="357">
        <v>0</v>
      </c>
      <c r="M225" s="366"/>
      <c r="N225" s="357"/>
      <c r="O225" s="363"/>
      <c r="P225" s="291">
        <v>3</v>
      </c>
      <c r="Q225" s="224" t="s">
        <v>652</v>
      </c>
      <c r="R225" s="227" t="s">
        <v>4</v>
      </c>
      <c r="S225" s="228" t="s">
        <v>14</v>
      </c>
      <c r="T225" s="228" t="s">
        <v>9</v>
      </c>
      <c r="U225" s="229" t="s">
        <v>346</v>
      </c>
      <c r="V225" s="228" t="s">
        <v>19</v>
      </c>
      <c r="W225" s="228" t="s">
        <v>22</v>
      </c>
      <c r="X225" s="228" t="s">
        <v>111</v>
      </c>
      <c r="Y225" s="230">
        <f>IFERROR(IF(AND(R224="Probabilidad",R225="Probabilidad"),(AA224-(+AA224*U225)),IF(AND(R224="Impacto",R225="Probabilidad"),(AA223-(+AA223*U225)),IF(R225="Impacto",AA224,""))),"")</f>
        <v>0.10079999999999999</v>
      </c>
      <c r="Z225" s="292" t="s">
        <v>47</v>
      </c>
      <c r="AA225" s="232">
        <v>0.10079999999999999</v>
      </c>
      <c r="AB225" s="292" t="s">
        <v>80</v>
      </c>
      <c r="AC225" s="232">
        <v>0.4</v>
      </c>
      <c r="AD225" s="233" t="s">
        <v>78</v>
      </c>
      <c r="AE225" s="290" t="s">
        <v>257</v>
      </c>
      <c r="AF225" s="289" t="s">
        <v>1347</v>
      </c>
      <c r="AG225" s="236" t="s">
        <v>1348</v>
      </c>
      <c r="AH225" s="236" t="s">
        <v>377</v>
      </c>
      <c r="AI225" s="236" t="s">
        <v>653</v>
      </c>
      <c r="AJ225" s="236" t="s">
        <v>637</v>
      </c>
      <c r="AK225" s="237">
        <v>44678</v>
      </c>
      <c r="AL225" s="237">
        <v>44910</v>
      </c>
      <c r="AM225" s="351"/>
      <c r="AN225" s="351"/>
    </row>
    <row r="226" spans="1:40" ht="121.5">
      <c r="A226" s="342"/>
      <c r="B226" s="345"/>
      <c r="C226" s="345"/>
      <c r="D226" s="345"/>
      <c r="E226" s="345"/>
      <c r="F226" s="348"/>
      <c r="G226" s="345"/>
      <c r="H226" s="351"/>
      <c r="I226" s="366"/>
      <c r="J226" s="357"/>
      <c r="K226" s="360"/>
      <c r="L226" s="357">
        <v>0</v>
      </c>
      <c r="M226" s="366"/>
      <c r="N226" s="357"/>
      <c r="O226" s="363"/>
      <c r="P226" s="291">
        <v>4</v>
      </c>
      <c r="Q226" s="224" t="s">
        <v>654</v>
      </c>
      <c r="R226" s="227" t="s">
        <v>4</v>
      </c>
      <c r="S226" s="228" t="s">
        <v>14</v>
      </c>
      <c r="T226" s="228" t="s">
        <v>9</v>
      </c>
      <c r="U226" s="229" t="s">
        <v>346</v>
      </c>
      <c r="V226" s="228" t="s">
        <v>19</v>
      </c>
      <c r="W226" s="228" t="s">
        <v>22</v>
      </c>
      <c r="X226" s="228" t="s">
        <v>111</v>
      </c>
      <c r="Y226" s="230">
        <f t="shared" ref="Y226:Y228" si="109">IFERROR(IF(AND(R225="Probabilidad",R226="Probabilidad"),(AA225-(+AA225*U226)),IF(AND(R225="Impacto",R226="Probabilidad"),(AA224-(+AA224*U226)),IF(R226="Impacto",AA225,""))),"")</f>
        <v>6.0479999999999992E-2</v>
      </c>
      <c r="Z226" s="292" t="s">
        <v>47</v>
      </c>
      <c r="AA226" s="232">
        <v>6.0479999999999992E-2</v>
      </c>
      <c r="AB226" s="292" t="s">
        <v>80</v>
      </c>
      <c r="AC226" s="232">
        <v>0.4</v>
      </c>
      <c r="AD226" s="233" t="s">
        <v>78</v>
      </c>
      <c r="AE226" s="290" t="s">
        <v>257</v>
      </c>
      <c r="AF226" s="289" t="s">
        <v>655</v>
      </c>
      <c r="AG226" s="236" t="s">
        <v>656</v>
      </c>
      <c r="AH226" s="236" t="s">
        <v>657</v>
      </c>
      <c r="AI226" s="236" t="s">
        <v>653</v>
      </c>
      <c r="AJ226" s="236" t="s">
        <v>637</v>
      </c>
      <c r="AK226" s="237">
        <v>44659</v>
      </c>
      <c r="AL226" s="237">
        <v>44895</v>
      </c>
      <c r="AM226" s="351"/>
      <c r="AN226" s="351"/>
    </row>
    <row r="227" spans="1:40" ht="135">
      <c r="A227" s="342"/>
      <c r="B227" s="345"/>
      <c r="C227" s="345"/>
      <c r="D227" s="345"/>
      <c r="E227" s="345"/>
      <c r="F227" s="348"/>
      <c r="G227" s="345"/>
      <c r="H227" s="351"/>
      <c r="I227" s="366"/>
      <c r="J227" s="357"/>
      <c r="K227" s="360"/>
      <c r="L227" s="357">
        <v>0</v>
      </c>
      <c r="M227" s="366"/>
      <c r="N227" s="357"/>
      <c r="O227" s="363"/>
      <c r="P227" s="291">
        <v>5</v>
      </c>
      <c r="Q227" s="224" t="s">
        <v>658</v>
      </c>
      <c r="R227" s="227" t="s">
        <v>4</v>
      </c>
      <c r="S227" s="228" t="s">
        <v>14</v>
      </c>
      <c r="T227" s="228" t="s">
        <v>9</v>
      </c>
      <c r="U227" s="229" t="s">
        <v>346</v>
      </c>
      <c r="V227" s="228" t="s">
        <v>19</v>
      </c>
      <c r="W227" s="228" t="s">
        <v>22</v>
      </c>
      <c r="X227" s="228" t="s">
        <v>111</v>
      </c>
      <c r="Y227" s="230">
        <f t="shared" si="109"/>
        <v>3.6287999999999994E-2</v>
      </c>
      <c r="Z227" s="292" t="s">
        <v>47</v>
      </c>
      <c r="AA227" s="232">
        <v>3.6287999999999994E-2</v>
      </c>
      <c r="AB227" s="292" t="s">
        <v>80</v>
      </c>
      <c r="AC227" s="232">
        <v>0.4</v>
      </c>
      <c r="AD227" s="233" t="s">
        <v>78</v>
      </c>
      <c r="AE227" s="290" t="s">
        <v>257</v>
      </c>
      <c r="AF227" s="289" t="s">
        <v>659</v>
      </c>
      <c r="AG227" s="236" t="s">
        <v>660</v>
      </c>
      <c r="AH227" s="236" t="s">
        <v>661</v>
      </c>
      <c r="AI227" s="236" t="s">
        <v>662</v>
      </c>
      <c r="AJ227" s="236" t="s">
        <v>663</v>
      </c>
      <c r="AK227" s="237" t="s">
        <v>664</v>
      </c>
      <c r="AL227" s="237" t="s">
        <v>665</v>
      </c>
      <c r="AM227" s="351"/>
      <c r="AN227" s="351"/>
    </row>
    <row r="228" spans="1:40">
      <c r="A228" s="343"/>
      <c r="B228" s="346"/>
      <c r="C228" s="346"/>
      <c r="D228" s="346"/>
      <c r="E228" s="346"/>
      <c r="F228" s="349"/>
      <c r="G228" s="346"/>
      <c r="H228" s="352"/>
      <c r="I228" s="367"/>
      <c r="J228" s="358"/>
      <c r="K228" s="361"/>
      <c r="L228" s="358">
        <v>0</v>
      </c>
      <c r="M228" s="367"/>
      <c r="N228" s="358"/>
      <c r="O228" s="364"/>
      <c r="P228" s="291">
        <v>6</v>
      </c>
      <c r="Q228" s="224"/>
      <c r="R228" s="227" t="s">
        <v>361</v>
      </c>
      <c r="S228" s="228"/>
      <c r="T228" s="228"/>
      <c r="U228" s="229" t="s">
        <v>361</v>
      </c>
      <c r="V228" s="228"/>
      <c r="W228" s="228"/>
      <c r="X228" s="228"/>
      <c r="Y228" s="230" t="str">
        <f t="shared" si="109"/>
        <v/>
      </c>
      <c r="Z228" s="292" t="s">
        <v>361</v>
      </c>
      <c r="AA228" s="232" t="s">
        <v>361</v>
      </c>
      <c r="AB228" s="292" t="s">
        <v>361</v>
      </c>
      <c r="AC228" s="232" t="s">
        <v>361</v>
      </c>
      <c r="AD228" s="233" t="s">
        <v>361</v>
      </c>
      <c r="AE228" s="290"/>
      <c r="AF228" s="289"/>
      <c r="AG228" s="236"/>
      <c r="AH228" s="236"/>
      <c r="AI228" s="236"/>
      <c r="AJ228" s="236"/>
      <c r="AK228" s="237"/>
      <c r="AL228" s="237"/>
      <c r="AM228" s="352"/>
      <c r="AN228" s="352"/>
    </row>
    <row r="229" spans="1:40" ht="82.5">
      <c r="A229" s="341">
        <v>37</v>
      </c>
      <c r="B229" s="344" t="s">
        <v>218</v>
      </c>
      <c r="C229" s="344" t="s">
        <v>125</v>
      </c>
      <c r="D229" s="344" t="s">
        <v>666</v>
      </c>
      <c r="E229" s="344" t="s">
        <v>667</v>
      </c>
      <c r="F229" s="347" t="s">
        <v>668</v>
      </c>
      <c r="G229" s="344" t="s">
        <v>115</v>
      </c>
      <c r="H229" s="350">
        <v>7</v>
      </c>
      <c r="I229" s="353" t="s">
        <v>49</v>
      </c>
      <c r="J229" s="356">
        <v>0.4</v>
      </c>
      <c r="K229" s="359" t="s">
        <v>141</v>
      </c>
      <c r="L229" s="356" t="s">
        <v>141</v>
      </c>
      <c r="M229" s="353" t="s">
        <v>80</v>
      </c>
      <c r="N229" s="356">
        <v>0.4</v>
      </c>
      <c r="O229" s="362" t="s">
        <v>77</v>
      </c>
      <c r="P229" s="124">
        <v>1</v>
      </c>
      <c r="Q229" s="178" t="s">
        <v>669</v>
      </c>
      <c r="R229" s="125" t="s">
        <v>4</v>
      </c>
      <c r="S229" s="170" t="s">
        <v>14</v>
      </c>
      <c r="T229" s="170" t="s">
        <v>9</v>
      </c>
      <c r="U229" s="127" t="s">
        <v>346</v>
      </c>
      <c r="V229" s="170" t="s">
        <v>19</v>
      </c>
      <c r="W229" s="170" t="s">
        <v>23</v>
      </c>
      <c r="X229" s="170" t="s">
        <v>111</v>
      </c>
      <c r="Y229" s="128">
        <f>IFERROR(IF(R229="Probabilidad",(J229-(+J229*U229)),IF(R229="Impacto",J229,"")),"")</f>
        <v>0.24</v>
      </c>
      <c r="Z229" s="129" t="s">
        <v>49</v>
      </c>
      <c r="AA229" s="130">
        <v>0.24</v>
      </c>
      <c r="AB229" s="129" t="s">
        <v>80</v>
      </c>
      <c r="AC229" s="130">
        <v>0.4</v>
      </c>
      <c r="AD229" s="131" t="s">
        <v>77</v>
      </c>
      <c r="AE229" s="183" t="s">
        <v>257</v>
      </c>
      <c r="AF229" s="214" t="s">
        <v>670</v>
      </c>
      <c r="AG229" s="215" t="s">
        <v>671</v>
      </c>
      <c r="AH229" s="215" t="s">
        <v>633</v>
      </c>
      <c r="AI229" s="215" t="s">
        <v>403</v>
      </c>
      <c r="AJ229" s="215" t="s">
        <v>634</v>
      </c>
      <c r="AK229" s="176">
        <v>44678</v>
      </c>
      <c r="AL229" s="176">
        <v>44803</v>
      </c>
      <c r="AM229" s="350">
        <v>4053</v>
      </c>
      <c r="AN229" s="350"/>
    </row>
    <row r="230" spans="1:40" ht="66">
      <c r="A230" s="342"/>
      <c r="B230" s="345"/>
      <c r="C230" s="345"/>
      <c r="D230" s="345"/>
      <c r="E230" s="345"/>
      <c r="F230" s="348"/>
      <c r="G230" s="345"/>
      <c r="H230" s="351"/>
      <c r="I230" s="354"/>
      <c r="J230" s="357"/>
      <c r="K230" s="360"/>
      <c r="L230" s="357">
        <v>0</v>
      </c>
      <c r="M230" s="354"/>
      <c r="N230" s="357"/>
      <c r="O230" s="363"/>
      <c r="P230" s="124">
        <v>2</v>
      </c>
      <c r="Q230" s="178"/>
      <c r="R230" s="125" t="s">
        <v>361</v>
      </c>
      <c r="S230" s="170"/>
      <c r="T230" s="170"/>
      <c r="U230" s="127" t="s">
        <v>361</v>
      </c>
      <c r="V230" s="170"/>
      <c r="W230" s="170"/>
      <c r="X230" s="170"/>
      <c r="Y230" s="128" t="str">
        <f>IFERROR(IF(AND(R229="Probabilidad",R230="Probabilidad"),(AA229-(+AA229*U230)),IF(R230="Probabilidad",(J229-(+J229*U230)),IF(R230="Impacto",AA229,""))),"")</f>
        <v/>
      </c>
      <c r="Z230" s="129" t="s">
        <v>361</v>
      </c>
      <c r="AA230" s="130" t="s">
        <v>361</v>
      </c>
      <c r="AB230" s="129" t="s">
        <v>361</v>
      </c>
      <c r="AC230" s="130" t="s">
        <v>361</v>
      </c>
      <c r="AD230" s="131" t="s">
        <v>361</v>
      </c>
      <c r="AE230" s="183"/>
      <c r="AF230" s="214" t="s">
        <v>672</v>
      </c>
      <c r="AG230" s="215" t="s">
        <v>673</v>
      </c>
      <c r="AH230" s="215" t="s">
        <v>633</v>
      </c>
      <c r="AI230" s="215" t="s">
        <v>403</v>
      </c>
      <c r="AJ230" s="215" t="s">
        <v>634</v>
      </c>
      <c r="AK230" s="176">
        <v>44678</v>
      </c>
      <c r="AL230" s="176">
        <v>44895</v>
      </c>
      <c r="AM230" s="351"/>
      <c r="AN230" s="351"/>
    </row>
    <row r="231" spans="1:40">
      <c r="A231" s="342"/>
      <c r="B231" s="345"/>
      <c r="C231" s="345"/>
      <c r="D231" s="345"/>
      <c r="E231" s="345"/>
      <c r="F231" s="348"/>
      <c r="G231" s="345"/>
      <c r="H231" s="351"/>
      <c r="I231" s="354"/>
      <c r="J231" s="357"/>
      <c r="K231" s="360"/>
      <c r="L231" s="357">
        <v>0</v>
      </c>
      <c r="M231" s="354"/>
      <c r="N231" s="357"/>
      <c r="O231" s="363"/>
      <c r="P231" s="124">
        <v>3</v>
      </c>
      <c r="Q231" s="179"/>
      <c r="R231" s="125" t="s">
        <v>361</v>
      </c>
      <c r="S231" s="170"/>
      <c r="T231" s="170"/>
      <c r="U231" s="127" t="s">
        <v>361</v>
      </c>
      <c r="V231" s="170"/>
      <c r="W231" s="170"/>
      <c r="X231" s="170"/>
      <c r="Y231" s="128" t="str">
        <f>IFERROR(IF(AND(R230="Probabilidad",R231="Probabilidad"),(AA230-(+AA230*U231)),IF(AND(R230="Impacto",R231="Probabilidad"),(AA229-(+AA229*U231)),IF(R231="Impacto",AA230,""))),"")</f>
        <v/>
      </c>
      <c r="Z231" s="129" t="s">
        <v>361</v>
      </c>
      <c r="AA231" s="130" t="s">
        <v>361</v>
      </c>
      <c r="AB231" s="129" t="s">
        <v>361</v>
      </c>
      <c r="AC231" s="130" t="s">
        <v>361</v>
      </c>
      <c r="AD231" s="131" t="s">
        <v>361</v>
      </c>
      <c r="AE231" s="183"/>
      <c r="AF231" s="184"/>
      <c r="AG231" s="175"/>
      <c r="AH231" s="175"/>
      <c r="AI231" s="175"/>
      <c r="AJ231" s="175"/>
      <c r="AK231" s="176"/>
      <c r="AL231" s="176"/>
      <c r="AM231" s="351"/>
      <c r="AN231" s="351"/>
    </row>
    <row r="232" spans="1:40">
      <c r="A232" s="342"/>
      <c r="B232" s="345"/>
      <c r="C232" s="345"/>
      <c r="D232" s="345"/>
      <c r="E232" s="345"/>
      <c r="F232" s="348"/>
      <c r="G232" s="345"/>
      <c r="H232" s="351"/>
      <c r="I232" s="354"/>
      <c r="J232" s="357"/>
      <c r="K232" s="360"/>
      <c r="L232" s="357">
        <v>0</v>
      </c>
      <c r="M232" s="354"/>
      <c r="N232" s="357"/>
      <c r="O232" s="363"/>
      <c r="P232" s="124">
        <v>4</v>
      </c>
      <c r="Q232" s="178"/>
      <c r="R232" s="125" t="s">
        <v>361</v>
      </c>
      <c r="S232" s="170"/>
      <c r="T232" s="170"/>
      <c r="U232" s="127" t="s">
        <v>361</v>
      </c>
      <c r="V232" s="170"/>
      <c r="W232" s="170"/>
      <c r="X232" s="170"/>
      <c r="Y232" s="128" t="str">
        <f t="shared" ref="Y232:Y234" si="110">IFERROR(IF(AND(R231="Probabilidad",R232="Probabilidad"),(AA231-(+AA231*U232)),IF(AND(R231="Impacto",R232="Probabilidad"),(AA230-(+AA230*U232)),IF(R232="Impacto",AA231,""))),"")</f>
        <v/>
      </c>
      <c r="Z232" s="129" t="s">
        <v>361</v>
      </c>
      <c r="AA232" s="130" t="s">
        <v>361</v>
      </c>
      <c r="AB232" s="129" t="s">
        <v>361</v>
      </c>
      <c r="AC232" s="130" t="s">
        <v>361</v>
      </c>
      <c r="AD232" s="131" t="s">
        <v>361</v>
      </c>
      <c r="AE232" s="183"/>
      <c r="AF232" s="184"/>
      <c r="AG232" s="175"/>
      <c r="AH232" s="175"/>
      <c r="AI232" s="175"/>
      <c r="AJ232" s="175"/>
      <c r="AK232" s="176"/>
      <c r="AL232" s="176"/>
      <c r="AM232" s="351"/>
      <c r="AN232" s="351"/>
    </row>
    <row r="233" spans="1:40">
      <c r="A233" s="342"/>
      <c r="B233" s="345"/>
      <c r="C233" s="345"/>
      <c r="D233" s="345"/>
      <c r="E233" s="345"/>
      <c r="F233" s="348"/>
      <c r="G233" s="345"/>
      <c r="H233" s="351"/>
      <c r="I233" s="354"/>
      <c r="J233" s="357"/>
      <c r="K233" s="360"/>
      <c r="L233" s="357">
        <v>0</v>
      </c>
      <c r="M233" s="354"/>
      <c r="N233" s="357"/>
      <c r="O233" s="363"/>
      <c r="P233" s="124">
        <v>5</v>
      </c>
      <c r="Q233" s="178"/>
      <c r="R233" s="125" t="s">
        <v>361</v>
      </c>
      <c r="S233" s="170"/>
      <c r="T233" s="170"/>
      <c r="U233" s="127" t="s">
        <v>361</v>
      </c>
      <c r="V233" s="170"/>
      <c r="W233" s="170"/>
      <c r="X233" s="170"/>
      <c r="Y233" s="128" t="str">
        <f t="shared" si="110"/>
        <v/>
      </c>
      <c r="Z233" s="129" t="s">
        <v>361</v>
      </c>
      <c r="AA233" s="130" t="s">
        <v>361</v>
      </c>
      <c r="AB233" s="129" t="s">
        <v>361</v>
      </c>
      <c r="AC233" s="130" t="s">
        <v>361</v>
      </c>
      <c r="AD233" s="131" t="s">
        <v>361</v>
      </c>
      <c r="AE233" s="183"/>
      <c r="AF233" s="184"/>
      <c r="AG233" s="175"/>
      <c r="AH233" s="175"/>
      <c r="AI233" s="175"/>
      <c r="AJ233" s="175"/>
      <c r="AK233" s="176"/>
      <c r="AL233" s="176"/>
      <c r="AM233" s="351"/>
      <c r="AN233" s="351"/>
    </row>
    <row r="234" spans="1:40">
      <c r="A234" s="343"/>
      <c r="B234" s="346"/>
      <c r="C234" s="346"/>
      <c r="D234" s="346"/>
      <c r="E234" s="346"/>
      <c r="F234" s="349"/>
      <c r="G234" s="346"/>
      <c r="H234" s="352"/>
      <c r="I234" s="355"/>
      <c r="J234" s="358"/>
      <c r="K234" s="361"/>
      <c r="L234" s="358">
        <v>0</v>
      </c>
      <c r="M234" s="355"/>
      <c r="N234" s="358"/>
      <c r="O234" s="364"/>
      <c r="P234" s="124">
        <v>6</v>
      </c>
      <c r="Q234" s="178"/>
      <c r="R234" s="125" t="s">
        <v>361</v>
      </c>
      <c r="S234" s="170"/>
      <c r="T234" s="170"/>
      <c r="U234" s="127" t="s">
        <v>361</v>
      </c>
      <c r="V234" s="170"/>
      <c r="W234" s="170"/>
      <c r="X234" s="170"/>
      <c r="Y234" s="128" t="str">
        <f t="shared" si="110"/>
        <v/>
      </c>
      <c r="Z234" s="129" t="s">
        <v>361</v>
      </c>
      <c r="AA234" s="130" t="s">
        <v>361</v>
      </c>
      <c r="AB234" s="129" t="s">
        <v>361</v>
      </c>
      <c r="AC234" s="130" t="s">
        <v>361</v>
      </c>
      <c r="AD234" s="131" t="s">
        <v>361</v>
      </c>
      <c r="AE234" s="183"/>
      <c r="AF234" s="184"/>
      <c r="AG234" s="175"/>
      <c r="AH234" s="175"/>
      <c r="AI234" s="175"/>
      <c r="AJ234" s="175"/>
      <c r="AK234" s="176"/>
      <c r="AL234" s="176"/>
      <c r="AM234" s="352"/>
      <c r="AN234" s="352"/>
    </row>
    <row r="235" spans="1:40" ht="76.5">
      <c r="A235" s="341">
        <v>38</v>
      </c>
      <c r="B235" s="344" t="s">
        <v>218</v>
      </c>
      <c r="C235" s="344" t="s">
        <v>125</v>
      </c>
      <c r="D235" s="344" t="s">
        <v>674</v>
      </c>
      <c r="E235" s="344" t="s">
        <v>675</v>
      </c>
      <c r="F235" s="347" t="s">
        <v>676</v>
      </c>
      <c r="G235" s="344" t="s">
        <v>118</v>
      </c>
      <c r="H235" s="350">
        <v>4</v>
      </c>
      <c r="I235" s="353" t="s">
        <v>49</v>
      </c>
      <c r="J235" s="356">
        <v>0.4</v>
      </c>
      <c r="K235" s="359" t="s">
        <v>141</v>
      </c>
      <c r="L235" s="356" t="s">
        <v>141</v>
      </c>
      <c r="M235" s="353" t="s">
        <v>80</v>
      </c>
      <c r="N235" s="356">
        <v>0.4</v>
      </c>
      <c r="O235" s="362" t="s">
        <v>77</v>
      </c>
      <c r="P235" s="124">
        <v>1</v>
      </c>
      <c r="Q235" s="178" t="s">
        <v>677</v>
      </c>
      <c r="R235" s="125" t="s">
        <v>4</v>
      </c>
      <c r="S235" s="170" t="s">
        <v>14</v>
      </c>
      <c r="T235" s="170" t="s">
        <v>9</v>
      </c>
      <c r="U235" s="127" t="s">
        <v>346</v>
      </c>
      <c r="V235" s="170" t="s">
        <v>19</v>
      </c>
      <c r="W235" s="170" t="s">
        <v>22</v>
      </c>
      <c r="X235" s="170" t="s">
        <v>111</v>
      </c>
      <c r="Y235" s="128">
        <f>IFERROR(IF(R235="Probabilidad",(J235-(+J235*U235)),IF(R235="Impacto",J235,"")),"")</f>
        <v>0.24</v>
      </c>
      <c r="Z235" s="129" t="s">
        <v>49</v>
      </c>
      <c r="AA235" s="130">
        <v>0.24</v>
      </c>
      <c r="AB235" s="129" t="s">
        <v>80</v>
      </c>
      <c r="AC235" s="130">
        <v>0.4</v>
      </c>
      <c r="AD235" s="131" t="s">
        <v>77</v>
      </c>
      <c r="AE235" s="183" t="s">
        <v>257</v>
      </c>
      <c r="AF235" s="216" t="s">
        <v>678</v>
      </c>
      <c r="AG235" s="175" t="s">
        <v>679</v>
      </c>
      <c r="AH235" s="175" t="s">
        <v>638</v>
      </c>
      <c r="AI235" s="175" t="s">
        <v>680</v>
      </c>
      <c r="AJ235" s="175" t="s">
        <v>634</v>
      </c>
      <c r="AK235" s="176">
        <v>44656</v>
      </c>
      <c r="AL235" s="176">
        <v>44895</v>
      </c>
      <c r="AM235" s="350">
        <v>4054</v>
      </c>
      <c r="AN235" s="350"/>
    </row>
    <row r="236" spans="1:40" ht="81">
      <c r="A236" s="342"/>
      <c r="B236" s="345"/>
      <c r="C236" s="345"/>
      <c r="D236" s="345"/>
      <c r="E236" s="345"/>
      <c r="F236" s="348"/>
      <c r="G236" s="345"/>
      <c r="H236" s="351"/>
      <c r="I236" s="354"/>
      <c r="J236" s="357"/>
      <c r="K236" s="360"/>
      <c r="L236" s="357">
        <v>0</v>
      </c>
      <c r="M236" s="354"/>
      <c r="N236" s="357"/>
      <c r="O236" s="363"/>
      <c r="P236" s="124">
        <v>2</v>
      </c>
      <c r="Q236" s="178" t="s">
        <v>681</v>
      </c>
      <c r="R236" s="125" t="s">
        <v>4</v>
      </c>
      <c r="S236" s="170" t="s">
        <v>14</v>
      </c>
      <c r="T236" s="170" t="s">
        <v>9</v>
      </c>
      <c r="U236" s="127" t="s">
        <v>346</v>
      </c>
      <c r="V236" s="170" t="s">
        <v>19</v>
      </c>
      <c r="W236" s="170" t="s">
        <v>22</v>
      </c>
      <c r="X236" s="170" t="s">
        <v>111</v>
      </c>
      <c r="Y236" s="128">
        <f>IFERROR(IF(AND(R235="Probabilidad",R236="Probabilidad"),(AA235-(+AA235*U236)),IF(R236="Probabilidad",(J235-(+J235*U236)),IF(R236="Impacto",AA235,""))),"")</f>
        <v>0.14399999999999999</v>
      </c>
      <c r="Z236" s="129" t="s">
        <v>47</v>
      </c>
      <c r="AA236" s="130">
        <v>0.14399999999999999</v>
      </c>
      <c r="AB236" s="129" t="s">
        <v>80</v>
      </c>
      <c r="AC236" s="130">
        <v>0.4</v>
      </c>
      <c r="AD236" s="131" t="s">
        <v>78</v>
      </c>
      <c r="AE236" s="183" t="s">
        <v>31</v>
      </c>
      <c r="AF236" s="184"/>
      <c r="AG236" s="175"/>
      <c r="AH236" s="175"/>
      <c r="AI236" s="175"/>
      <c r="AJ236" s="175"/>
      <c r="AK236" s="176"/>
      <c r="AL236" s="176"/>
      <c r="AM236" s="351"/>
      <c r="AN236" s="351"/>
    </row>
    <row r="237" spans="1:40" ht="54">
      <c r="A237" s="342"/>
      <c r="B237" s="345"/>
      <c r="C237" s="345"/>
      <c r="D237" s="345"/>
      <c r="E237" s="345"/>
      <c r="F237" s="348"/>
      <c r="G237" s="345"/>
      <c r="H237" s="351"/>
      <c r="I237" s="354"/>
      <c r="J237" s="357"/>
      <c r="K237" s="360"/>
      <c r="L237" s="357">
        <v>0</v>
      </c>
      <c r="M237" s="354"/>
      <c r="N237" s="357"/>
      <c r="O237" s="363"/>
      <c r="P237" s="124">
        <v>3</v>
      </c>
      <c r="Q237" s="179" t="s">
        <v>682</v>
      </c>
      <c r="R237" s="125" t="s">
        <v>4</v>
      </c>
      <c r="S237" s="170" t="s">
        <v>14</v>
      </c>
      <c r="T237" s="170" t="s">
        <v>9</v>
      </c>
      <c r="U237" s="127" t="s">
        <v>346</v>
      </c>
      <c r="V237" s="170" t="s">
        <v>19</v>
      </c>
      <c r="W237" s="170" t="s">
        <v>22</v>
      </c>
      <c r="X237" s="170" t="s">
        <v>111</v>
      </c>
      <c r="Y237" s="128">
        <f>IFERROR(IF(AND(R236="Probabilidad",R237="Probabilidad"),(AA236-(+AA236*U237)),IF(AND(R236="Impacto",R237="Probabilidad"),(AA235-(+AA235*U237)),IF(R237="Impacto",AA236,""))),"")</f>
        <v>8.6399999999999991E-2</v>
      </c>
      <c r="Z237" s="129" t="s">
        <v>47</v>
      </c>
      <c r="AA237" s="130">
        <v>8.6399999999999991E-2</v>
      </c>
      <c r="AB237" s="129" t="s">
        <v>80</v>
      </c>
      <c r="AC237" s="130">
        <v>0.4</v>
      </c>
      <c r="AD237" s="131" t="s">
        <v>78</v>
      </c>
      <c r="AE237" s="183" t="s">
        <v>31</v>
      </c>
      <c r="AF237" s="184"/>
      <c r="AG237" s="175"/>
      <c r="AH237" s="175"/>
      <c r="AI237" s="175"/>
      <c r="AJ237" s="175"/>
      <c r="AK237" s="176"/>
      <c r="AL237" s="176"/>
      <c r="AM237" s="351"/>
      <c r="AN237" s="351"/>
    </row>
    <row r="238" spans="1:40">
      <c r="A238" s="342"/>
      <c r="B238" s="345"/>
      <c r="C238" s="345"/>
      <c r="D238" s="345"/>
      <c r="E238" s="345"/>
      <c r="F238" s="348"/>
      <c r="G238" s="345"/>
      <c r="H238" s="351"/>
      <c r="I238" s="354"/>
      <c r="J238" s="357"/>
      <c r="K238" s="360"/>
      <c r="L238" s="357">
        <v>0</v>
      </c>
      <c r="M238" s="354"/>
      <c r="N238" s="357"/>
      <c r="O238" s="363"/>
      <c r="P238" s="124">
        <v>4</v>
      </c>
      <c r="Q238" s="178"/>
      <c r="R238" s="125" t="s">
        <v>361</v>
      </c>
      <c r="S238" s="170"/>
      <c r="T238" s="170"/>
      <c r="U238" s="127" t="s">
        <v>361</v>
      </c>
      <c r="V238" s="170"/>
      <c r="W238" s="170"/>
      <c r="X238" s="170"/>
      <c r="Y238" s="128" t="str">
        <f t="shared" ref="Y238:Y240" si="111">IFERROR(IF(AND(R237="Probabilidad",R238="Probabilidad"),(AA237-(+AA237*U238)),IF(AND(R237="Impacto",R238="Probabilidad"),(AA236-(+AA236*U238)),IF(R238="Impacto",AA237,""))),"")</f>
        <v/>
      </c>
      <c r="Z238" s="129" t="s">
        <v>361</v>
      </c>
      <c r="AA238" s="130" t="s">
        <v>361</v>
      </c>
      <c r="AB238" s="129" t="s">
        <v>361</v>
      </c>
      <c r="AC238" s="130" t="s">
        <v>361</v>
      </c>
      <c r="AD238" s="131" t="s">
        <v>361</v>
      </c>
      <c r="AE238" s="183"/>
      <c r="AF238" s="184"/>
      <c r="AG238" s="175"/>
      <c r="AH238" s="175"/>
      <c r="AI238" s="175"/>
      <c r="AJ238" s="175"/>
      <c r="AK238" s="176"/>
      <c r="AL238" s="176"/>
      <c r="AM238" s="351"/>
      <c r="AN238" s="351"/>
    </row>
    <row r="239" spans="1:40">
      <c r="A239" s="342"/>
      <c r="B239" s="345"/>
      <c r="C239" s="345"/>
      <c r="D239" s="345"/>
      <c r="E239" s="345"/>
      <c r="F239" s="348"/>
      <c r="G239" s="345"/>
      <c r="H239" s="351"/>
      <c r="I239" s="354"/>
      <c r="J239" s="357"/>
      <c r="K239" s="360"/>
      <c r="L239" s="357">
        <v>0</v>
      </c>
      <c r="M239" s="354"/>
      <c r="N239" s="357"/>
      <c r="O239" s="363"/>
      <c r="P239" s="124">
        <v>5</v>
      </c>
      <c r="Q239" s="178"/>
      <c r="R239" s="125" t="s">
        <v>361</v>
      </c>
      <c r="S239" s="170"/>
      <c r="T239" s="170"/>
      <c r="U239" s="127" t="s">
        <v>361</v>
      </c>
      <c r="V239" s="170"/>
      <c r="W239" s="170"/>
      <c r="X239" s="170"/>
      <c r="Y239" s="128" t="str">
        <f t="shared" si="111"/>
        <v/>
      </c>
      <c r="Z239" s="129" t="s">
        <v>361</v>
      </c>
      <c r="AA239" s="130" t="s">
        <v>361</v>
      </c>
      <c r="AB239" s="129" t="s">
        <v>361</v>
      </c>
      <c r="AC239" s="130" t="s">
        <v>361</v>
      </c>
      <c r="AD239" s="131" t="s">
        <v>361</v>
      </c>
      <c r="AE239" s="183"/>
      <c r="AF239" s="184"/>
      <c r="AG239" s="175"/>
      <c r="AH239" s="175"/>
      <c r="AI239" s="175"/>
      <c r="AJ239" s="175"/>
      <c r="AK239" s="176"/>
      <c r="AL239" s="176"/>
      <c r="AM239" s="351"/>
      <c r="AN239" s="351"/>
    </row>
    <row r="240" spans="1:40">
      <c r="A240" s="343"/>
      <c r="B240" s="346"/>
      <c r="C240" s="346"/>
      <c r="D240" s="346"/>
      <c r="E240" s="346"/>
      <c r="F240" s="349"/>
      <c r="G240" s="346"/>
      <c r="H240" s="352"/>
      <c r="I240" s="355"/>
      <c r="J240" s="358"/>
      <c r="K240" s="361"/>
      <c r="L240" s="358">
        <v>0</v>
      </c>
      <c r="M240" s="355"/>
      <c r="N240" s="358"/>
      <c r="O240" s="364"/>
      <c r="P240" s="124">
        <v>6</v>
      </c>
      <c r="Q240" s="178"/>
      <c r="R240" s="125" t="s">
        <v>361</v>
      </c>
      <c r="S240" s="170"/>
      <c r="T240" s="170"/>
      <c r="U240" s="127" t="s">
        <v>361</v>
      </c>
      <c r="V240" s="170"/>
      <c r="W240" s="170"/>
      <c r="X240" s="170"/>
      <c r="Y240" s="128" t="str">
        <f t="shared" si="111"/>
        <v/>
      </c>
      <c r="Z240" s="129" t="s">
        <v>361</v>
      </c>
      <c r="AA240" s="130" t="s">
        <v>361</v>
      </c>
      <c r="AB240" s="129" t="s">
        <v>361</v>
      </c>
      <c r="AC240" s="130" t="s">
        <v>361</v>
      </c>
      <c r="AD240" s="131" t="s">
        <v>361</v>
      </c>
      <c r="AE240" s="183"/>
      <c r="AF240" s="184"/>
      <c r="AG240" s="175"/>
      <c r="AH240" s="175"/>
      <c r="AI240" s="175"/>
      <c r="AJ240" s="175"/>
      <c r="AK240" s="176"/>
      <c r="AL240" s="176"/>
      <c r="AM240" s="352"/>
      <c r="AN240" s="352"/>
    </row>
    <row r="241" spans="1:40" ht="121.5">
      <c r="A241" s="341">
        <v>39</v>
      </c>
      <c r="B241" s="344" t="s">
        <v>218</v>
      </c>
      <c r="C241" s="344" t="s">
        <v>125</v>
      </c>
      <c r="D241" s="344" t="s">
        <v>683</v>
      </c>
      <c r="E241" s="344" t="s">
        <v>684</v>
      </c>
      <c r="F241" s="347" t="s">
        <v>685</v>
      </c>
      <c r="G241" s="344" t="s">
        <v>118</v>
      </c>
      <c r="H241" s="350">
        <v>25</v>
      </c>
      <c r="I241" s="353" t="s">
        <v>99</v>
      </c>
      <c r="J241" s="356">
        <v>0.6</v>
      </c>
      <c r="K241" s="359" t="s">
        <v>141</v>
      </c>
      <c r="L241" s="356" t="s">
        <v>141</v>
      </c>
      <c r="M241" s="353" t="s">
        <v>80</v>
      </c>
      <c r="N241" s="356">
        <v>0.4</v>
      </c>
      <c r="O241" s="362" t="s">
        <v>77</v>
      </c>
      <c r="P241" s="124">
        <v>1</v>
      </c>
      <c r="Q241" s="178" t="s">
        <v>686</v>
      </c>
      <c r="R241" s="125" t="s">
        <v>4</v>
      </c>
      <c r="S241" s="170" t="s">
        <v>14</v>
      </c>
      <c r="T241" s="170" t="s">
        <v>9</v>
      </c>
      <c r="U241" s="127" t="s">
        <v>346</v>
      </c>
      <c r="V241" s="170" t="s">
        <v>19</v>
      </c>
      <c r="W241" s="170" t="s">
        <v>23</v>
      </c>
      <c r="X241" s="170" t="s">
        <v>111</v>
      </c>
      <c r="Y241" s="128">
        <f>IFERROR(IF(R241="Probabilidad",(J241-(+J241*U241)),IF(R241="Impacto",J241,"")),"")</f>
        <v>0.36</v>
      </c>
      <c r="Z241" s="129" t="s">
        <v>49</v>
      </c>
      <c r="AA241" s="130">
        <v>0.36</v>
      </c>
      <c r="AB241" s="129" t="s">
        <v>80</v>
      </c>
      <c r="AC241" s="130">
        <v>0.4</v>
      </c>
      <c r="AD241" s="131" t="s">
        <v>77</v>
      </c>
      <c r="AE241" s="183" t="s">
        <v>257</v>
      </c>
      <c r="AF241" s="184" t="s">
        <v>687</v>
      </c>
      <c r="AG241" s="175" t="s">
        <v>688</v>
      </c>
      <c r="AH241" s="175" t="s">
        <v>689</v>
      </c>
      <c r="AI241" s="175" t="s">
        <v>690</v>
      </c>
      <c r="AJ241" s="175" t="s">
        <v>634</v>
      </c>
      <c r="AK241" s="176">
        <v>44673</v>
      </c>
      <c r="AL241" s="176" t="s">
        <v>691</v>
      </c>
      <c r="AM241" s="350">
        <v>4055</v>
      </c>
      <c r="AN241" s="350"/>
    </row>
    <row r="242" spans="1:40" ht="54">
      <c r="A242" s="342"/>
      <c r="B242" s="345"/>
      <c r="C242" s="345"/>
      <c r="D242" s="345"/>
      <c r="E242" s="345"/>
      <c r="F242" s="348"/>
      <c r="G242" s="345"/>
      <c r="H242" s="351"/>
      <c r="I242" s="354"/>
      <c r="J242" s="357"/>
      <c r="K242" s="360"/>
      <c r="L242" s="357">
        <v>0</v>
      </c>
      <c r="M242" s="354"/>
      <c r="N242" s="357"/>
      <c r="O242" s="363"/>
      <c r="P242" s="124">
        <v>2</v>
      </c>
      <c r="Q242" s="178" t="s">
        <v>692</v>
      </c>
      <c r="R242" s="125" t="s">
        <v>4</v>
      </c>
      <c r="S242" s="170" t="s">
        <v>14</v>
      </c>
      <c r="T242" s="170" t="s">
        <v>9</v>
      </c>
      <c r="U242" s="127" t="s">
        <v>346</v>
      </c>
      <c r="V242" s="170" t="s">
        <v>19</v>
      </c>
      <c r="W242" s="170" t="s">
        <v>23</v>
      </c>
      <c r="X242" s="170" t="s">
        <v>111</v>
      </c>
      <c r="Y242" s="128">
        <f>IFERROR(IF(AND(R241="Probabilidad",R242="Probabilidad"),(AA241-(+AA241*U242)),IF(R242="Probabilidad",(J241-(+J241*U242)),IF(R242="Impacto",AA241,""))),"")</f>
        <v>0.216</v>
      </c>
      <c r="Z242" s="129" t="s">
        <v>49</v>
      </c>
      <c r="AA242" s="130">
        <v>0.216</v>
      </c>
      <c r="AB242" s="129" t="s">
        <v>80</v>
      </c>
      <c r="AC242" s="130">
        <v>0.4</v>
      </c>
      <c r="AD242" s="131" t="s">
        <v>77</v>
      </c>
      <c r="AE242" s="183" t="s">
        <v>257</v>
      </c>
      <c r="AF242" s="184" t="s">
        <v>693</v>
      </c>
      <c r="AG242" s="175" t="s">
        <v>694</v>
      </c>
      <c r="AH242" s="175" t="s">
        <v>311</v>
      </c>
      <c r="AI242" s="175" t="s">
        <v>690</v>
      </c>
      <c r="AJ242" s="175" t="s">
        <v>695</v>
      </c>
      <c r="AK242" s="176">
        <v>44678</v>
      </c>
      <c r="AL242" s="176">
        <v>44895</v>
      </c>
      <c r="AM242" s="351"/>
      <c r="AN242" s="351"/>
    </row>
    <row r="243" spans="1:40" ht="81">
      <c r="A243" s="342"/>
      <c r="B243" s="345"/>
      <c r="C243" s="345"/>
      <c r="D243" s="345"/>
      <c r="E243" s="345"/>
      <c r="F243" s="348"/>
      <c r="G243" s="345"/>
      <c r="H243" s="351"/>
      <c r="I243" s="354"/>
      <c r="J243" s="357"/>
      <c r="K243" s="360"/>
      <c r="L243" s="357">
        <v>0</v>
      </c>
      <c r="M243" s="354"/>
      <c r="N243" s="357"/>
      <c r="O243" s="363"/>
      <c r="P243" s="124">
        <v>3</v>
      </c>
      <c r="Q243" s="179" t="s">
        <v>696</v>
      </c>
      <c r="R243" s="125" t="s">
        <v>4</v>
      </c>
      <c r="S243" s="170" t="s">
        <v>14</v>
      </c>
      <c r="T243" s="170" t="s">
        <v>9</v>
      </c>
      <c r="U243" s="127" t="s">
        <v>346</v>
      </c>
      <c r="V243" s="170" t="s">
        <v>19</v>
      </c>
      <c r="W243" s="170" t="s">
        <v>23</v>
      </c>
      <c r="X243" s="170" t="s">
        <v>111</v>
      </c>
      <c r="Y243" s="128">
        <f>IFERROR(IF(AND(R242="Probabilidad",R243="Probabilidad"),(AA242-(+AA242*U243)),IF(AND(R242="Impacto",R243="Probabilidad"),(AA241-(+AA241*U243)),IF(R243="Impacto",AA242,""))),"")</f>
        <v>0.12959999999999999</v>
      </c>
      <c r="Z243" s="129" t="s">
        <v>47</v>
      </c>
      <c r="AA243" s="130">
        <v>0.12959999999999999</v>
      </c>
      <c r="AB243" s="129" t="s">
        <v>80</v>
      </c>
      <c r="AC243" s="130">
        <v>0.4</v>
      </c>
      <c r="AD243" s="131" t="s">
        <v>78</v>
      </c>
      <c r="AE243" s="183" t="s">
        <v>257</v>
      </c>
      <c r="AF243" s="184" t="s">
        <v>697</v>
      </c>
      <c r="AG243" s="175" t="s">
        <v>698</v>
      </c>
      <c r="AH243" s="175" t="s">
        <v>699</v>
      </c>
      <c r="AI243" s="175" t="s">
        <v>690</v>
      </c>
      <c r="AJ243" s="175" t="s">
        <v>695</v>
      </c>
      <c r="AK243" s="176">
        <v>44678</v>
      </c>
      <c r="AL243" s="176" t="s">
        <v>700</v>
      </c>
      <c r="AM243" s="351"/>
      <c r="AN243" s="351"/>
    </row>
    <row r="244" spans="1:40">
      <c r="A244" s="342"/>
      <c r="B244" s="345"/>
      <c r="C244" s="345"/>
      <c r="D244" s="345"/>
      <c r="E244" s="345"/>
      <c r="F244" s="348"/>
      <c r="G244" s="345"/>
      <c r="H244" s="351"/>
      <c r="I244" s="354"/>
      <c r="J244" s="357"/>
      <c r="K244" s="360"/>
      <c r="L244" s="357">
        <v>0</v>
      </c>
      <c r="M244" s="354"/>
      <c r="N244" s="357"/>
      <c r="O244" s="363"/>
      <c r="P244" s="124">
        <v>4</v>
      </c>
      <c r="Q244" s="178"/>
      <c r="R244" s="125" t="s">
        <v>361</v>
      </c>
      <c r="S244" s="170"/>
      <c r="T244" s="170"/>
      <c r="U244" s="127" t="s">
        <v>361</v>
      </c>
      <c r="V244" s="170"/>
      <c r="W244" s="170"/>
      <c r="X244" s="170"/>
      <c r="Y244" s="128" t="str">
        <f t="shared" ref="Y244:Y246" si="112">IFERROR(IF(AND(R243="Probabilidad",R244="Probabilidad"),(AA243-(+AA243*U244)),IF(AND(R243="Impacto",R244="Probabilidad"),(AA242-(+AA242*U244)),IF(R244="Impacto",AA243,""))),"")</f>
        <v/>
      </c>
      <c r="Z244" s="129" t="s">
        <v>361</v>
      </c>
      <c r="AA244" s="130" t="s">
        <v>361</v>
      </c>
      <c r="AB244" s="129" t="s">
        <v>361</v>
      </c>
      <c r="AC244" s="130" t="s">
        <v>361</v>
      </c>
      <c r="AD244" s="131" t="s">
        <v>361</v>
      </c>
      <c r="AE244" s="183"/>
      <c r="AF244" s="184"/>
      <c r="AG244" s="175"/>
      <c r="AH244" s="175"/>
      <c r="AI244" s="175"/>
      <c r="AJ244" s="175"/>
      <c r="AK244" s="176"/>
      <c r="AL244" s="176"/>
      <c r="AM244" s="351"/>
      <c r="AN244" s="351"/>
    </row>
    <row r="245" spans="1:40">
      <c r="A245" s="342"/>
      <c r="B245" s="345"/>
      <c r="C245" s="345"/>
      <c r="D245" s="345"/>
      <c r="E245" s="345"/>
      <c r="F245" s="348"/>
      <c r="G245" s="345"/>
      <c r="H245" s="351"/>
      <c r="I245" s="354"/>
      <c r="J245" s="357"/>
      <c r="K245" s="360"/>
      <c r="L245" s="357">
        <v>0</v>
      </c>
      <c r="M245" s="354"/>
      <c r="N245" s="357"/>
      <c r="O245" s="363"/>
      <c r="P245" s="124">
        <v>5</v>
      </c>
      <c r="Q245" s="178"/>
      <c r="R245" s="125" t="s">
        <v>361</v>
      </c>
      <c r="S245" s="170"/>
      <c r="T245" s="170"/>
      <c r="U245" s="127" t="s">
        <v>361</v>
      </c>
      <c r="V245" s="170"/>
      <c r="W245" s="170"/>
      <c r="X245" s="170"/>
      <c r="Y245" s="128" t="str">
        <f t="shared" si="112"/>
        <v/>
      </c>
      <c r="Z245" s="129" t="s">
        <v>361</v>
      </c>
      <c r="AA245" s="130" t="s">
        <v>361</v>
      </c>
      <c r="AB245" s="129" t="s">
        <v>361</v>
      </c>
      <c r="AC245" s="130" t="s">
        <v>361</v>
      </c>
      <c r="AD245" s="131" t="s">
        <v>361</v>
      </c>
      <c r="AE245" s="183"/>
      <c r="AF245" s="184"/>
      <c r="AG245" s="175"/>
      <c r="AH245" s="175"/>
      <c r="AI245" s="175"/>
      <c r="AJ245" s="175"/>
      <c r="AK245" s="176"/>
      <c r="AL245" s="176"/>
      <c r="AM245" s="351"/>
      <c r="AN245" s="351"/>
    </row>
    <row r="246" spans="1:40">
      <c r="A246" s="343"/>
      <c r="B246" s="346"/>
      <c r="C246" s="346"/>
      <c r="D246" s="346"/>
      <c r="E246" s="346"/>
      <c r="F246" s="349"/>
      <c r="G246" s="346"/>
      <c r="H246" s="352"/>
      <c r="I246" s="355"/>
      <c r="J246" s="358"/>
      <c r="K246" s="361"/>
      <c r="L246" s="358">
        <v>0</v>
      </c>
      <c r="M246" s="355"/>
      <c r="N246" s="358"/>
      <c r="O246" s="364"/>
      <c r="P246" s="124">
        <v>6</v>
      </c>
      <c r="Q246" s="178"/>
      <c r="R246" s="125" t="s">
        <v>361</v>
      </c>
      <c r="S246" s="170"/>
      <c r="T246" s="170"/>
      <c r="U246" s="127" t="s">
        <v>361</v>
      </c>
      <c r="V246" s="170"/>
      <c r="W246" s="170"/>
      <c r="X246" s="170"/>
      <c r="Y246" s="128" t="str">
        <f t="shared" si="112"/>
        <v/>
      </c>
      <c r="Z246" s="129" t="s">
        <v>361</v>
      </c>
      <c r="AA246" s="130" t="s">
        <v>361</v>
      </c>
      <c r="AB246" s="129" t="s">
        <v>361</v>
      </c>
      <c r="AC246" s="130" t="s">
        <v>361</v>
      </c>
      <c r="AD246" s="131" t="s">
        <v>361</v>
      </c>
      <c r="AE246" s="183"/>
      <c r="AF246" s="184"/>
      <c r="AG246" s="175"/>
      <c r="AH246" s="175"/>
      <c r="AI246" s="175"/>
      <c r="AJ246" s="175"/>
      <c r="AK246" s="176"/>
      <c r="AL246" s="176"/>
      <c r="AM246" s="352"/>
      <c r="AN246" s="352"/>
    </row>
    <row r="247" spans="1:40" ht="94.5">
      <c r="A247" s="341">
        <v>40</v>
      </c>
      <c r="B247" s="344" t="s">
        <v>218</v>
      </c>
      <c r="C247" s="344" t="s">
        <v>125</v>
      </c>
      <c r="D247" s="344" t="s">
        <v>701</v>
      </c>
      <c r="E247" s="344" t="s">
        <v>702</v>
      </c>
      <c r="F247" s="347" t="s">
        <v>703</v>
      </c>
      <c r="G247" s="344" t="s">
        <v>118</v>
      </c>
      <c r="H247" s="350">
        <v>100</v>
      </c>
      <c r="I247" s="353" t="s">
        <v>99</v>
      </c>
      <c r="J247" s="356">
        <v>0.6</v>
      </c>
      <c r="K247" s="359" t="s">
        <v>141</v>
      </c>
      <c r="L247" s="356" t="s">
        <v>141</v>
      </c>
      <c r="M247" s="353" t="s">
        <v>80</v>
      </c>
      <c r="N247" s="356">
        <v>0.4</v>
      </c>
      <c r="O247" s="362" t="s">
        <v>77</v>
      </c>
      <c r="P247" s="124">
        <v>1</v>
      </c>
      <c r="Q247" s="178" t="s">
        <v>704</v>
      </c>
      <c r="R247" s="125" t="s">
        <v>4</v>
      </c>
      <c r="S247" s="170" t="s">
        <v>14</v>
      </c>
      <c r="T247" s="170" t="s">
        <v>9</v>
      </c>
      <c r="U247" s="127" t="s">
        <v>346</v>
      </c>
      <c r="V247" s="170" t="s">
        <v>19</v>
      </c>
      <c r="W247" s="170" t="s">
        <v>22</v>
      </c>
      <c r="X247" s="170" t="s">
        <v>111</v>
      </c>
      <c r="Y247" s="128">
        <f>IFERROR(IF(R247="Probabilidad",(J247-(+J247*U247)),IF(R247="Impacto",J247,"")),"")</f>
        <v>0.36</v>
      </c>
      <c r="Z247" s="129" t="s">
        <v>49</v>
      </c>
      <c r="AA247" s="130">
        <v>0.36</v>
      </c>
      <c r="AB247" s="129" t="s">
        <v>80</v>
      </c>
      <c r="AC247" s="130">
        <v>0.4</v>
      </c>
      <c r="AD247" s="131" t="s">
        <v>77</v>
      </c>
      <c r="AE247" s="183" t="s">
        <v>257</v>
      </c>
      <c r="AF247" s="184" t="s">
        <v>705</v>
      </c>
      <c r="AG247" s="175" t="s">
        <v>706</v>
      </c>
      <c r="AH247" s="175" t="s">
        <v>377</v>
      </c>
      <c r="AI247" s="175" t="s">
        <v>707</v>
      </c>
      <c r="AJ247" s="175" t="s">
        <v>708</v>
      </c>
      <c r="AK247" s="176">
        <v>44673</v>
      </c>
      <c r="AL247" s="176">
        <v>44727</v>
      </c>
      <c r="AM247" s="350">
        <v>4056</v>
      </c>
      <c r="AN247" s="350"/>
    </row>
    <row r="248" spans="1:40" ht="76.5">
      <c r="A248" s="342"/>
      <c r="B248" s="345"/>
      <c r="C248" s="345"/>
      <c r="D248" s="345"/>
      <c r="E248" s="345"/>
      <c r="F248" s="348"/>
      <c r="G248" s="345"/>
      <c r="H248" s="351"/>
      <c r="I248" s="354"/>
      <c r="J248" s="357"/>
      <c r="K248" s="360"/>
      <c r="L248" s="357">
        <v>0</v>
      </c>
      <c r="M248" s="354"/>
      <c r="N248" s="357"/>
      <c r="O248" s="363"/>
      <c r="P248" s="124">
        <v>2</v>
      </c>
      <c r="Q248" s="178" t="s">
        <v>709</v>
      </c>
      <c r="R248" s="125" t="s">
        <v>4</v>
      </c>
      <c r="S248" s="170" t="s">
        <v>14</v>
      </c>
      <c r="T248" s="170" t="s">
        <v>9</v>
      </c>
      <c r="U248" s="127" t="s">
        <v>346</v>
      </c>
      <c r="V248" s="170" t="s">
        <v>19</v>
      </c>
      <c r="W248" s="170" t="s">
        <v>22</v>
      </c>
      <c r="X248" s="170" t="s">
        <v>111</v>
      </c>
      <c r="Y248" s="128">
        <f>IFERROR(IF(AND(R247="Probabilidad",R248="Probabilidad"),(AA247-(+AA247*U248)),IF(R248="Probabilidad",(J247-(+J247*U248)),IF(R248="Impacto",AA247,""))),"")</f>
        <v>0.216</v>
      </c>
      <c r="Z248" s="129" t="s">
        <v>49</v>
      </c>
      <c r="AA248" s="130">
        <v>0.216</v>
      </c>
      <c r="AB248" s="129" t="s">
        <v>80</v>
      </c>
      <c r="AC248" s="130">
        <v>0.4</v>
      </c>
      <c r="AD248" s="131" t="s">
        <v>77</v>
      </c>
      <c r="AE248" s="183" t="s">
        <v>257</v>
      </c>
      <c r="AF248" s="216" t="s">
        <v>710</v>
      </c>
      <c r="AG248" s="175" t="s">
        <v>679</v>
      </c>
      <c r="AH248" s="175" t="s">
        <v>638</v>
      </c>
      <c r="AI248" s="175" t="s">
        <v>680</v>
      </c>
      <c r="AJ248" s="175" t="s">
        <v>634</v>
      </c>
      <c r="AK248" s="176">
        <v>44656</v>
      </c>
      <c r="AL248" s="176">
        <v>44925</v>
      </c>
      <c r="AM248" s="351"/>
      <c r="AN248" s="351"/>
    </row>
    <row r="249" spans="1:40" ht="94.5">
      <c r="A249" s="342"/>
      <c r="B249" s="345"/>
      <c r="C249" s="345"/>
      <c r="D249" s="345"/>
      <c r="E249" s="345"/>
      <c r="F249" s="348"/>
      <c r="G249" s="345"/>
      <c r="H249" s="351"/>
      <c r="I249" s="354"/>
      <c r="J249" s="357"/>
      <c r="K249" s="360"/>
      <c r="L249" s="357">
        <v>0</v>
      </c>
      <c r="M249" s="354"/>
      <c r="N249" s="357"/>
      <c r="O249" s="363"/>
      <c r="P249" s="124">
        <v>3</v>
      </c>
      <c r="Q249" s="178" t="s">
        <v>711</v>
      </c>
      <c r="R249" s="125" t="s">
        <v>4</v>
      </c>
      <c r="S249" s="170" t="s">
        <v>14</v>
      </c>
      <c r="T249" s="170" t="s">
        <v>9</v>
      </c>
      <c r="U249" s="127" t="s">
        <v>346</v>
      </c>
      <c r="V249" s="170" t="s">
        <v>19</v>
      </c>
      <c r="W249" s="170" t="s">
        <v>22</v>
      </c>
      <c r="X249" s="170" t="s">
        <v>111</v>
      </c>
      <c r="Y249" s="128">
        <f>IFERROR(IF(AND(R248="Probabilidad",R249="Probabilidad"),(AA248-(+AA248*U249)),IF(AND(R248="Impacto",R249="Probabilidad"),(AA247-(+AA247*U249)),IF(R249="Impacto",AA248,""))),"")</f>
        <v>0.12959999999999999</v>
      </c>
      <c r="Z249" s="129" t="s">
        <v>47</v>
      </c>
      <c r="AA249" s="130">
        <v>0.12959999999999999</v>
      </c>
      <c r="AB249" s="129" t="s">
        <v>80</v>
      </c>
      <c r="AC249" s="130">
        <v>0.4</v>
      </c>
      <c r="AD249" s="131" t="s">
        <v>78</v>
      </c>
      <c r="AE249" s="183" t="s">
        <v>31</v>
      </c>
      <c r="AF249" s="184"/>
      <c r="AG249" s="175"/>
      <c r="AH249" s="175"/>
      <c r="AI249" s="175"/>
      <c r="AJ249" s="175"/>
      <c r="AK249" s="176"/>
      <c r="AL249" s="176"/>
      <c r="AM249" s="351"/>
      <c r="AN249" s="351"/>
    </row>
    <row r="250" spans="1:40">
      <c r="A250" s="342"/>
      <c r="B250" s="345"/>
      <c r="C250" s="345"/>
      <c r="D250" s="345"/>
      <c r="E250" s="345"/>
      <c r="F250" s="348"/>
      <c r="G250" s="345"/>
      <c r="H250" s="351"/>
      <c r="I250" s="354"/>
      <c r="J250" s="357"/>
      <c r="K250" s="360"/>
      <c r="L250" s="357">
        <v>0</v>
      </c>
      <c r="M250" s="354"/>
      <c r="N250" s="357"/>
      <c r="O250" s="363"/>
      <c r="P250" s="124">
        <v>4</v>
      </c>
      <c r="Q250" s="178"/>
      <c r="R250" s="125" t="s">
        <v>361</v>
      </c>
      <c r="S250" s="170"/>
      <c r="T250" s="170"/>
      <c r="U250" s="127" t="s">
        <v>361</v>
      </c>
      <c r="V250" s="170"/>
      <c r="W250" s="170"/>
      <c r="X250" s="170"/>
      <c r="Y250" s="128" t="str">
        <f t="shared" ref="Y250:Y252" si="113">IFERROR(IF(AND(R249="Probabilidad",R250="Probabilidad"),(AA249-(+AA249*U250)),IF(AND(R249="Impacto",R250="Probabilidad"),(AA248-(+AA248*U250)),IF(R250="Impacto",AA249,""))),"")</f>
        <v/>
      </c>
      <c r="Z250" s="129" t="s">
        <v>361</v>
      </c>
      <c r="AA250" s="130" t="s">
        <v>361</v>
      </c>
      <c r="AB250" s="129" t="s">
        <v>361</v>
      </c>
      <c r="AC250" s="130" t="s">
        <v>361</v>
      </c>
      <c r="AD250" s="131" t="s">
        <v>361</v>
      </c>
      <c r="AE250" s="183"/>
      <c r="AF250" s="184"/>
      <c r="AG250" s="175"/>
      <c r="AH250" s="175"/>
      <c r="AI250" s="175"/>
      <c r="AJ250" s="175"/>
      <c r="AK250" s="176"/>
      <c r="AL250" s="176"/>
      <c r="AM250" s="351"/>
      <c r="AN250" s="351"/>
    </row>
    <row r="251" spans="1:40">
      <c r="A251" s="342"/>
      <c r="B251" s="345"/>
      <c r="C251" s="345"/>
      <c r="D251" s="345"/>
      <c r="E251" s="345"/>
      <c r="F251" s="348"/>
      <c r="G251" s="345"/>
      <c r="H251" s="351"/>
      <c r="I251" s="354"/>
      <c r="J251" s="357"/>
      <c r="K251" s="360"/>
      <c r="L251" s="357">
        <v>0</v>
      </c>
      <c r="M251" s="354"/>
      <c r="N251" s="357"/>
      <c r="O251" s="363"/>
      <c r="P251" s="124">
        <v>5</v>
      </c>
      <c r="Q251" s="178"/>
      <c r="R251" s="125" t="s">
        <v>361</v>
      </c>
      <c r="S251" s="170"/>
      <c r="T251" s="170"/>
      <c r="U251" s="127" t="s">
        <v>361</v>
      </c>
      <c r="V251" s="170"/>
      <c r="W251" s="170"/>
      <c r="X251" s="170"/>
      <c r="Y251" s="128" t="str">
        <f t="shared" si="113"/>
        <v/>
      </c>
      <c r="Z251" s="129" t="s">
        <v>361</v>
      </c>
      <c r="AA251" s="130" t="s">
        <v>361</v>
      </c>
      <c r="AB251" s="129" t="s">
        <v>361</v>
      </c>
      <c r="AC251" s="130" t="s">
        <v>361</v>
      </c>
      <c r="AD251" s="131" t="s">
        <v>361</v>
      </c>
      <c r="AE251" s="183"/>
      <c r="AF251" s="184"/>
      <c r="AG251" s="175"/>
      <c r="AH251" s="175"/>
      <c r="AI251" s="175"/>
      <c r="AJ251" s="175"/>
      <c r="AK251" s="176"/>
      <c r="AL251" s="176"/>
      <c r="AM251" s="351"/>
      <c r="AN251" s="351"/>
    </row>
    <row r="252" spans="1:40">
      <c r="A252" s="343"/>
      <c r="B252" s="346"/>
      <c r="C252" s="346"/>
      <c r="D252" s="346"/>
      <c r="E252" s="346"/>
      <c r="F252" s="349"/>
      <c r="G252" s="346"/>
      <c r="H252" s="352"/>
      <c r="I252" s="355"/>
      <c r="J252" s="358"/>
      <c r="K252" s="361"/>
      <c r="L252" s="358">
        <v>0</v>
      </c>
      <c r="M252" s="355"/>
      <c r="N252" s="358"/>
      <c r="O252" s="364"/>
      <c r="P252" s="124">
        <v>6</v>
      </c>
      <c r="Q252" s="178"/>
      <c r="R252" s="125" t="s">
        <v>361</v>
      </c>
      <c r="S252" s="170"/>
      <c r="T252" s="170"/>
      <c r="U252" s="127" t="s">
        <v>361</v>
      </c>
      <c r="V252" s="170"/>
      <c r="W252" s="170"/>
      <c r="X252" s="170"/>
      <c r="Y252" s="128" t="str">
        <f t="shared" si="113"/>
        <v/>
      </c>
      <c r="Z252" s="129" t="s">
        <v>361</v>
      </c>
      <c r="AA252" s="130" t="s">
        <v>361</v>
      </c>
      <c r="AB252" s="129" t="s">
        <v>361</v>
      </c>
      <c r="AC252" s="130" t="s">
        <v>361</v>
      </c>
      <c r="AD252" s="131" t="s">
        <v>361</v>
      </c>
      <c r="AE252" s="183"/>
      <c r="AF252" s="184"/>
      <c r="AG252" s="175"/>
      <c r="AH252" s="175"/>
      <c r="AI252" s="175"/>
      <c r="AJ252" s="175"/>
      <c r="AK252" s="176"/>
      <c r="AL252" s="176"/>
      <c r="AM252" s="352"/>
      <c r="AN252" s="352"/>
    </row>
    <row r="253" spans="1:40" ht="54">
      <c r="A253" s="341">
        <v>41</v>
      </c>
      <c r="B253" s="344" t="s">
        <v>218</v>
      </c>
      <c r="C253" s="344" t="s">
        <v>125</v>
      </c>
      <c r="D253" s="344" t="s">
        <v>712</v>
      </c>
      <c r="E253" s="344" t="s">
        <v>713</v>
      </c>
      <c r="F253" s="347" t="s">
        <v>714</v>
      </c>
      <c r="G253" s="344" t="s">
        <v>120</v>
      </c>
      <c r="H253" s="350">
        <v>140</v>
      </c>
      <c r="I253" s="353" t="s">
        <v>99</v>
      </c>
      <c r="J253" s="356">
        <v>0.6</v>
      </c>
      <c r="K253" s="359" t="s">
        <v>141</v>
      </c>
      <c r="L253" s="356" t="s">
        <v>141</v>
      </c>
      <c r="M253" s="353" t="s">
        <v>80</v>
      </c>
      <c r="N253" s="356">
        <v>0.4</v>
      </c>
      <c r="O253" s="362" t="s">
        <v>77</v>
      </c>
      <c r="P253" s="124">
        <v>1</v>
      </c>
      <c r="Q253" s="178" t="s">
        <v>715</v>
      </c>
      <c r="R253" s="125" t="s">
        <v>4</v>
      </c>
      <c r="S253" s="170" t="s">
        <v>14</v>
      </c>
      <c r="T253" s="170" t="s">
        <v>9</v>
      </c>
      <c r="U253" s="127" t="s">
        <v>346</v>
      </c>
      <c r="V253" s="170" t="s">
        <v>19</v>
      </c>
      <c r="W253" s="170" t="s">
        <v>22</v>
      </c>
      <c r="X253" s="170" t="s">
        <v>111</v>
      </c>
      <c r="Y253" s="128">
        <f>IFERROR(IF(R253="Probabilidad",(J253-(+J253*U253)),IF(R253="Impacto",J253,"")),"")</f>
        <v>0.36</v>
      </c>
      <c r="Z253" s="129" t="s">
        <v>49</v>
      </c>
      <c r="AA253" s="130">
        <v>0.36</v>
      </c>
      <c r="AB253" s="129" t="s">
        <v>80</v>
      </c>
      <c r="AC253" s="130">
        <v>0.4</v>
      </c>
      <c r="AD253" s="131" t="s">
        <v>77</v>
      </c>
      <c r="AE253" s="183" t="s">
        <v>31</v>
      </c>
      <c r="AF253" s="184"/>
      <c r="AG253" s="175"/>
      <c r="AH253" s="175"/>
      <c r="AI253" s="175"/>
      <c r="AJ253" s="175"/>
      <c r="AK253" s="176"/>
      <c r="AL253" s="176"/>
      <c r="AM253" s="350">
        <v>4057</v>
      </c>
      <c r="AN253" s="350"/>
    </row>
    <row r="254" spans="1:40" ht="67.5">
      <c r="A254" s="342"/>
      <c r="B254" s="345"/>
      <c r="C254" s="345"/>
      <c r="D254" s="345"/>
      <c r="E254" s="345"/>
      <c r="F254" s="348"/>
      <c r="G254" s="345"/>
      <c r="H254" s="351"/>
      <c r="I254" s="354"/>
      <c r="J254" s="357"/>
      <c r="K254" s="360"/>
      <c r="L254" s="357">
        <v>0</v>
      </c>
      <c r="M254" s="354"/>
      <c r="N254" s="357"/>
      <c r="O254" s="363"/>
      <c r="P254" s="124">
        <v>2</v>
      </c>
      <c r="Q254" s="178" t="s">
        <v>716</v>
      </c>
      <c r="R254" s="125" t="s">
        <v>4</v>
      </c>
      <c r="S254" s="170" t="s">
        <v>14</v>
      </c>
      <c r="T254" s="170" t="s">
        <v>9</v>
      </c>
      <c r="U254" s="127" t="s">
        <v>346</v>
      </c>
      <c r="V254" s="170" t="s">
        <v>19</v>
      </c>
      <c r="W254" s="170" t="s">
        <v>22</v>
      </c>
      <c r="X254" s="170" t="s">
        <v>111</v>
      </c>
      <c r="Y254" s="128">
        <f>IFERROR(IF(AND(R253="Probabilidad",R254="Probabilidad"),(AA253-(+AA253*U254)),IF(R254="Probabilidad",(J253-(+J253*U254)),IF(R254="Impacto",AA253,""))),"")</f>
        <v>0.216</v>
      </c>
      <c r="Z254" s="129" t="s">
        <v>49</v>
      </c>
      <c r="AA254" s="130">
        <v>0.216</v>
      </c>
      <c r="AB254" s="129" t="s">
        <v>80</v>
      </c>
      <c r="AC254" s="130">
        <v>0.4</v>
      </c>
      <c r="AD254" s="131" t="s">
        <v>77</v>
      </c>
      <c r="AE254" s="183" t="s">
        <v>257</v>
      </c>
      <c r="AF254" s="184" t="s">
        <v>717</v>
      </c>
      <c r="AG254" s="175" t="s">
        <v>718</v>
      </c>
      <c r="AH254" s="175" t="s">
        <v>719</v>
      </c>
      <c r="AI254" s="175" t="s">
        <v>720</v>
      </c>
      <c r="AJ254" s="175" t="s">
        <v>634</v>
      </c>
      <c r="AK254" s="176">
        <v>44679</v>
      </c>
      <c r="AL254" s="176">
        <v>44926</v>
      </c>
      <c r="AM254" s="351"/>
      <c r="AN254" s="351"/>
    </row>
    <row r="255" spans="1:40" ht="67.5">
      <c r="A255" s="342"/>
      <c r="B255" s="345"/>
      <c r="C255" s="345"/>
      <c r="D255" s="345"/>
      <c r="E255" s="345"/>
      <c r="F255" s="348"/>
      <c r="G255" s="345"/>
      <c r="H255" s="351"/>
      <c r="I255" s="354"/>
      <c r="J255" s="357"/>
      <c r="K255" s="360"/>
      <c r="L255" s="357">
        <v>0</v>
      </c>
      <c r="M255" s="354"/>
      <c r="N255" s="357"/>
      <c r="O255" s="363"/>
      <c r="P255" s="124">
        <v>3</v>
      </c>
      <c r="Q255" s="179"/>
      <c r="R255" s="125" t="s">
        <v>361</v>
      </c>
      <c r="S255" s="170"/>
      <c r="T255" s="170"/>
      <c r="U255" s="127" t="s">
        <v>361</v>
      </c>
      <c r="V255" s="170"/>
      <c r="W255" s="170"/>
      <c r="X255" s="170"/>
      <c r="Y255" s="128" t="str">
        <f>IFERROR(IF(AND(R254="Probabilidad",R255="Probabilidad"),(AA254-(+AA254*U255)),IF(AND(R254="Impacto",R255="Probabilidad"),(AA253-(+AA253*U255)),IF(R255="Impacto",AA254,""))),"")</f>
        <v/>
      </c>
      <c r="Z255" s="129" t="s">
        <v>361</v>
      </c>
      <c r="AA255" s="130" t="s">
        <v>361</v>
      </c>
      <c r="AB255" s="129" t="s">
        <v>361</v>
      </c>
      <c r="AC255" s="130" t="s">
        <v>361</v>
      </c>
      <c r="AD255" s="131" t="s">
        <v>361</v>
      </c>
      <c r="AE255" s="183" t="s">
        <v>257</v>
      </c>
      <c r="AF255" s="184" t="s">
        <v>721</v>
      </c>
      <c r="AG255" s="175" t="s">
        <v>722</v>
      </c>
      <c r="AH255" s="175" t="s">
        <v>723</v>
      </c>
      <c r="AI255" s="175" t="s">
        <v>720</v>
      </c>
      <c r="AJ255" s="175" t="s">
        <v>634</v>
      </c>
      <c r="AK255" s="176">
        <v>44679</v>
      </c>
      <c r="AL255" s="176">
        <v>44926</v>
      </c>
      <c r="AM255" s="351"/>
      <c r="AN255" s="351"/>
    </row>
    <row r="256" spans="1:40" ht="54">
      <c r="A256" s="342"/>
      <c r="B256" s="345"/>
      <c r="C256" s="345"/>
      <c r="D256" s="345"/>
      <c r="E256" s="345"/>
      <c r="F256" s="348"/>
      <c r="G256" s="345"/>
      <c r="H256" s="351"/>
      <c r="I256" s="354"/>
      <c r="J256" s="357"/>
      <c r="K256" s="360"/>
      <c r="L256" s="357">
        <v>0</v>
      </c>
      <c r="M256" s="354"/>
      <c r="N256" s="357"/>
      <c r="O256" s="363"/>
      <c r="P256" s="124">
        <v>4</v>
      </c>
      <c r="Q256" s="178"/>
      <c r="R256" s="125" t="s">
        <v>361</v>
      </c>
      <c r="S256" s="170"/>
      <c r="T256" s="170"/>
      <c r="U256" s="127" t="s">
        <v>361</v>
      </c>
      <c r="V256" s="170"/>
      <c r="W256" s="170"/>
      <c r="X256" s="170"/>
      <c r="Y256" s="128" t="str">
        <f t="shared" ref="Y256:Y258" si="114">IFERROR(IF(AND(R255="Probabilidad",R256="Probabilidad"),(AA255-(+AA255*U256)),IF(AND(R255="Impacto",R256="Probabilidad"),(AA254-(+AA254*U256)),IF(R256="Impacto",AA255,""))),"")</f>
        <v/>
      </c>
      <c r="Z256" s="129" t="s">
        <v>361</v>
      </c>
      <c r="AA256" s="130" t="s">
        <v>361</v>
      </c>
      <c r="AB256" s="129" t="s">
        <v>361</v>
      </c>
      <c r="AC256" s="130" t="s">
        <v>361</v>
      </c>
      <c r="AD256" s="131" t="s">
        <v>361</v>
      </c>
      <c r="AE256" s="183" t="s">
        <v>257</v>
      </c>
      <c r="AF256" s="184" t="s">
        <v>724</v>
      </c>
      <c r="AG256" s="175" t="s">
        <v>725</v>
      </c>
      <c r="AH256" s="175" t="s">
        <v>699</v>
      </c>
      <c r="AI256" s="175" t="s">
        <v>720</v>
      </c>
      <c r="AJ256" s="175" t="s">
        <v>634</v>
      </c>
      <c r="AK256" s="176">
        <v>44679</v>
      </c>
      <c r="AL256" s="176" t="s">
        <v>726</v>
      </c>
      <c r="AM256" s="351"/>
      <c r="AN256" s="351"/>
    </row>
    <row r="257" spans="1:40">
      <c r="A257" s="342"/>
      <c r="B257" s="345"/>
      <c r="C257" s="345"/>
      <c r="D257" s="345"/>
      <c r="E257" s="345"/>
      <c r="F257" s="348"/>
      <c r="G257" s="345"/>
      <c r="H257" s="351"/>
      <c r="I257" s="354"/>
      <c r="J257" s="357"/>
      <c r="K257" s="360"/>
      <c r="L257" s="357">
        <v>0</v>
      </c>
      <c r="M257" s="354"/>
      <c r="N257" s="357"/>
      <c r="O257" s="363"/>
      <c r="P257" s="124">
        <v>5</v>
      </c>
      <c r="Q257" s="178"/>
      <c r="R257" s="125" t="s">
        <v>361</v>
      </c>
      <c r="S257" s="170"/>
      <c r="T257" s="170"/>
      <c r="U257" s="127" t="s">
        <v>361</v>
      </c>
      <c r="V257" s="170"/>
      <c r="W257" s="170"/>
      <c r="X257" s="170"/>
      <c r="Y257" s="128" t="str">
        <f t="shared" si="114"/>
        <v/>
      </c>
      <c r="Z257" s="129" t="s">
        <v>361</v>
      </c>
      <c r="AA257" s="130" t="s">
        <v>361</v>
      </c>
      <c r="AB257" s="129" t="s">
        <v>361</v>
      </c>
      <c r="AC257" s="130" t="s">
        <v>361</v>
      </c>
      <c r="AD257" s="131" t="s">
        <v>361</v>
      </c>
      <c r="AE257" s="183"/>
      <c r="AF257" s="184"/>
      <c r="AG257" s="175"/>
      <c r="AH257" s="175"/>
      <c r="AI257" s="175"/>
      <c r="AJ257" s="175"/>
      <c r="AK257" s="176"/>
      <c r="AL257" s="176"/>
      <c r="AM257" s="351"/>
      <c r="AN257" s="351"/>
    </row>
    <row r="258" spans="1:40">
      <c r="A258" s="343"/>
      <c r="B258" s="346"/>
      <c r="C258" s="346"/>
      <c r="D258" s="346"/>
      <c r="E258" s="346"/>
      <c r="F258" s="349"/>
      <c r="G258" s="346"/>
      <c r="H258" s="352"/>
      <c r="I258" s="355"/>
      <c r="J258" s="358"/>
      <c r="K258" s="361"/>
      <c r="L258" s="358">
        <v>0</v>
      </c>
      <c r="M258" s="355"/>
      <c r="N258" s="358"/>
      <c r="O258" s="364"/>
      <c r="P258" s="124">
        <v>6</v>
      </c>
      <c r="Q258" s="178"/>
      <c r="R258" s="125" t="s">
        <v>361</v>
      </c>
      <c r="S258" s="170"/>
      <c r="T258" s="170"/>
      <c r="U258" s="127" t="s">
        <v>361</v>
      </c>
      <c r="V258" s="170"/>
      <c r="W258" s="170"/>
      <c r="X258" s="170"/>
      <c r="Y258" s="128" t="str">
        <f t="shared" si="114"/>
        <v/>
      </c>
      <c r="Z258" s="129" t="s">
        <v>361</v>
      </c>
      <c r="AA258" s="130" t="s">
        <v>361</v>
      </c>
      <c r="AB258" s="129" t="s">
        <v>361</v>
      </c>
      <c r="AC258" s="130" t="s">
        <v>361</v>
      </c>
      <c r="AD258" s="131" t="s">
        <v>361</v>
      </c>
      <c r="AE258" s="183"/>
      <c r="AF258" s="184"/>
      <c r="AG258" s="175"/>
      <c r="AH258" s="175"/>
      <c r="AI258" s="175"/>
      <c r="AJ258" s="175"/>
      <c r="AK258" s="176"/>
      <c r="AL258" s="176"/>
      <c r="AM258" s="352"/>
      <c r="AN258" s="352"/>
    </row>
    <row r="259" spans="1:40" ht="67.5">
      <c r="A259" s="341">
        <v>42</v>
      </c>
      <c r="B259" s="344" t="s">
        <v>221</v>
      </c>
      <c r="C259" s="344" t="s">
        <v>123</v>
      </c>
      <c r="D259" s="347" t="s">
        <v>727</v>
      </c>
      <c r="E259" s="344" t="s">
        <v>728</v>
      </c>
      <c r="F259" s="347" t="s">
        <v>729</v>
      </c>
      <c r="G259" s="344" t="s">
        <v>115</v>
      </c>
      <c r="H259" s="350">
        <v>12</v>
      </c>
      <c r="I259" s="353" t="s">
        <v>49</v>
      </c>
      <c r="J259" s="356">
        <v>0.4</v>
      </c>
      <c r="K259" s="359" t="s">
        <v>142</v>
      </c>
      <c r="L259" s="356" t="s">
        <v>142</v>
      </c>
      <c r="M259" s="353" t="s">
        <v>77</v>
      </c>
      <c r="N259" s="356">
        <v>0.6</v>
      </c>
      <c r="O259" s="362" t="s">
        <v>77</v>
      </c>
      <c r="P259" s="124">
        <v>1</v>
      </c>
      <c r="Q259" s="178" t="s">
        <v>730</v>
      </c>
      <c r="R259" s="125" t="s">
        <v>4</v>
      </c>
      <c r="S259" s="170" t="s">
        <v>14</v>
      </c>
      <c r="T259" s="170" t="s">
        <v>9</v>
      </c>
      <c r="U259" s="127" t="s">
        <v>346</v>
      </c>
      <c r="V259" s="170" t="s">
        <v>19</v>
      </c>
      <c r="W259" s="170" t="s">
        <v>22</v>
      </c>
      <c r="X259" s="170" t="s">
        <v>111</v>
      </c>
      <c r="Y259" s="128">
        <f>IFERROR(IF(R259="Probabilidad",(J259-(+J259*U259)),IF(R259="Impacto",J259,"")),"")</f>
        <v>0.24</v>
      </c>
      <c r="Z259" s="129" t="s">
        <v>49</v>
      </c>
      <c r="AA259" s="130">
        <v>0.24</v>
      </c>
      <c r="AB259" s="129" t="s">
        <v>77</v>
      </c>
      <c r="AC259" s="130">
        <v>0.6</v>
      </c>
      <c r="AD259" s="131" t="s">
        <v>77</v>
      </c>
      <c r="AE259" s="186" t="s">
        <v>257</v>
      </c>
      <c r="AF259" s="188" t="s">
        <v>731</v>
      </c>
      <c r="AG259" s="175" t="s">
        <v>732</v>
      </c>
      <c r="AH259" s="175" t="s">
        <v>733</v>
      </c>
      <c r="AI259" s="171" t="s">
        <v>734</v>
      </c>
      <c r="AJ259" s="175" t="s">
        <v>735</v>
      </c>
      <c r="AK259" s="176">
        <v>44683</v>
      </c>
      <c r="AL259" s="176">
        <v>44926</v>
      </c>
      <c r="AM259" s="344" t="s">
        <v>736</v>
      </c>
      <c r="AN259" s="350"/>
    </row>
    <row r="260" spans="1:40" ht="81">
      <c r="A260" s="342"/>
      <c r="B260" s="345"/>
      <c r="C260" s="345"/>
      <c r="D260" s="348"/>
      <c r="E260" s="345"/>
      <c r="F260" s="348"/>
      <c r="G260" s="345"/>
      <c r="H260" s="351"/>
      <c r="I260" s="354"/>
      <c r="J260" s="357"/>
      <c r="K260" s="360"/>
      <c r="L260" s="357">
        <v>0</v>
      </c>
      <c r="M260" s="354"/>
      <c r="N260" s="357"/>
      <c r="O260" s="363"/>
      <c r="P260" s="124">
        <v>2</v>
      </c>
      <c r="Q260" s="178" t="s">
        <v>737</v>
      </c>
      <c r="R260" s="125" t="s">
        <v>4</v>
      </c>
      <c r="S260" s="170" t="s">
        <v>14</v>
      </c>
      <c r="T260" s="170" t="s">
        <v>9</v>
      </c>
      <c r="U260" s="127" t="s">
        <v>346</v>
      </c>
      <c r="V260" s="170" t="s">
        <v>19</v>
      </c>
      <c r="W260" s="170" t="s">
        <v>22</v>
      </c>
      <c r="X260" s="170" t="s">
        <v>111</v>
      </c>
      <c r="Y260" s="128">
        <f>IFERROR(IF(AND(R259="Probabilidad",R260="Probabilidad"),(AA259-(+AA259*U260)),IF(R260="Probabilidad",(J259-(+J259*U260)),IF(R260="Impacto",AA259,""))),"")</f>
        <v>0.14399999999999999</v>
      </c>
      <c r="Z260" s="129" t="s">
        <v>47</v>
      </c>
      <c r="AA260" s="130">
        <v>0.14399999999999999</v>
      </c>
      <c r="AB260" s="129" t="s">
        <v>77</v>
      </c>
      <c r="AC260" s="130">
        <v>0.6</v>
      </c>
      <c r="AD260" s="131" t="s">
        <v>77</v>
      </c>
      <c r="AE260" s="186" t="s">
        <v>257</v>
      </c>
      <c r="AF260" s="188" t="s">
        <v>738</v>
      </c>
      <c r="AG260" s="175" t="s">
        <v>732</v>
      </c>
      <c r="AH260" s="175" t="s">
        <v>733</v>
      </c>
      <c r="AI260" s="171" t="s">
        <v>734</v>
      </c>
      <c r="AJ260" s="175" t="s">
        <v>735</v>
      </c>
      <c r="AK260" s="176">
        <v>44683</v>
      </c>
      <c r="AL260" s="176">
        <v>44926</v>
      </c>
      <c r="AM260" s="351"/>
      <c r="AN260" s="351"/>
    </row>
    <row r="261" spans="1:40" ht="54">
      <c r="A261" s="342"/>
      <c r="B261" s="345"/>
      <c r="C261" s="345"/>
      <c r="D261" s="348"/>
      <c r="E261" s="345"/>
      <c r="F261" s="348"/>
      <c r="G261" s="345"/>
      <c r="H261" s="351"/>
      <c r="I261" s="354"/>
      <c r="J261" s="357"/>
      <c r="K261" s="360"/>
      <c r="L261" s="357">
        <v>0</v>
      </c>
      <c r="M261" s="354"/>
      <c r="N261" s="357"/>
      <c r="O261" s="363"/>
      <c r="P261" s="124">
        <v>3</v>
      </c>
      <c r="Q261" s="178" t="s">
        <v>739</v>
      </c>
      <c r="R261" s="125" t="s">
        <v>4</v>
      </c>
      <c r="S261" s="170" t="s">
        <v>14</v>
      </c>
      <c r="T261" s="170" t="s">
        <v>9</v>
      </c>
      <c r="U261" s="127" t="s">
        <v>346</v>
      </c>
      <c r="V261" s="170" t="s">
        <v>19</v>
      </c>
      <c r="W261" s="170" t="s">
        <v>22</v>
      </c>
      <c r="X261" s="170" t="s">
        <v>111</v>
      </c>
      <c r="Y261" s="128">
        <f>IFERROR(IF(AND(R260="Probabilidad",R261="Probabilidad"),(AA260-(+AA260*U261)),IF(AND(R260="Impacto",R261="Probabilidad"),(AA259-(+AA259*U261)),IF(R261="Impacto",AA260,""))),"")</f>
        <v>8.6399999999999991E-2</v>
      </c>
      <c r="Z261" s="129" t="s">
        <v>47</v>
      </c>
      <c r="AA261" s="130">
        <v>8.6399999999999991E-2</v>
      </c>
      <c r="AB261" s="129" t="s">
        <v>77</v>
      </c>
      <c r="AC261" s="130">
        <v>0.6</v>
      </c>
      <c r="AD261" s="131" t="s">
        <v>77</v>
      </c>
      <c r="AE261" s="186" t="s">
        <v>257</v>
      </c>
      <c r="AF261" s="188" t="s">
        <v>740</v>
      </c>
      <c r="AG261" s="175" t="s">
        <v>732</v>
      </c>
      <c r="AH261" s="175" t="s">
        <v>733</v>
      </c>
      <c r="AI261" s="171" t="s">
        <v>734</v>
      </c>
      <c r="AJ261" s="175" t="s">
        <v>735</v>
      </c>
      <c r="AK261" s="176">
        <v>44683</v>
      </c>
      <c r="AL261" s="176">
        <v>44926</v>
      </c>
      <c r="AM261" s="351"/>
      <c r="AN261" s="351"/>
    </row>
    <row r="262" spans="1:40" ht="54">
      <c r="A262" s="342"/>
      <c r="B262" s="345"/>
      <c r="C262" s="345"/>
      <c r="D262" s="348"/>
      <c r="E262" s="345"/>
      <c r="F262" s="348"/>
      <c r="G262" s="345"/>
      <c r="H262" s="351"/>
      <c r="I262" s="354"/>
      <c r="J262" s="357"/>
      <c r="K262" s="360"/>
      <c r="L262" s="357">
        <v>0</v>
      </c>
      <c r="M262" s="354"/>
      <c r="N262" s="357"/>
      <c r="O262" s="363"/>
      <c r="P262" s="124">
        <v>4</v>
      </c>
      <c r="Q262" s="188" t="s">
        <v>741</v>
      </c>
      <c r="R262" s="125" t="s">
        <v>4</v>
      </c>
      <c r="S262" s="170" t="s">
        <v>15</v>
      </c>
      <c r="T262" s="170" t="s">
        <v>9</v>
      </c>
      <c r="U262" s="127" t="s">
        <v>352</v>
      </c>
      <c r="V262" s="170" t="s">
        <v>19</v>
      </c>
      <c r="W262" s="170" t="s">
        <v>22</v>
      </c>
      <c r="X262" s="170" t="s">
        <v>111</v>
      </c>
      <c r="Y262" s="128">
        <f t="shared" ref="Y262:Y264" si="115">IFERROR(IF(AND(R261="Probabilidad",R262="Probabilidad"),(AA261-(+AA261*U262)),IF(AND(R261="Impacto",R262="Probabilidad"),(AA260-(+AA260*U262)),IF(R262="Impacto",AA261,""))),"")</f>
        <v>6.0479999999999992E-2</v>
      </c>
      <c r="Z262" s="129" t="s">
        <v>47</v>
      </c>
      <c r="AA262" s="130">
        <v>6.0479999999999992E-2</v>
      </c>
      <c r="AB262" s="129" t="s">
        <v>77</v>
      </c>
      <c r="AC262" s="130">
        <v>0.6</v>
      </c>
      <c r="AD262" s="131" t="s">
        <v>77</v>
      </c>
      <c r="AE262" s="186" t="s">
        <v>257</v>
      </c>
      <c r="AF262" s="188" t="s">
        <v>742</v>
      </c>
      <c r="AG262" s="175" t="s">
        <v>732</v>
      </c>
      <c r="AH262" s="175" t="s">
        <v>733</v>
      </c>
      <c r="AI262" s="171" t="s">
        <v>734</v>
      </c>
      <c r="AJ262" s="175" t="s">
        <v>735</v>
      </c>
      <c r="AK262" s="176">
        <v>44683</v>
      </c>
      <c r="AL262" s="176">
        <v>44926</v>
      </c>
      <c r="AM262" s="351"/>
      <c r="AN262" s="351"/>
    </row>
    <row r="263" spans="1:40">
      <c r="A263" s="342"/>
      <c r="B263" s="345"/>
      <c r="C263" s="345"/>
      <c r="D263" s="348"/>
      <c r="E263" s="345"/>
      <c r="F263" s="348"/>
      <c r="G263" s="345"/>
      <c r="H263" s="351"/>
      <c r="I263" s="354"/>
      <c r="J263" s="357"/>
      <c r="K263" s="360"/>
      <c r="L263" s="357">
        <v>0</v>
      </c>
      <c r="M263" s="354"/>
      <c r="N263" s="357"/>
      <c r="O263" s="363"/>
      <c r="P263" s="124">
        <v>5</v>
      </c>
      <c r="Q263" s="207"/>
      <c r="R263" s="125" t="s">
        <v>361</v>
      </c>
      <c r="S263" s="170"/>
      <c r="T263" s="170"/>
      <c r="U263" s="127" t="s">
        <v>361</v>
      </c>
      <c r="V263" s="170"/>
      <c r="W263" s="170"/>
      <c r="X263" s="170"/>
      <c r="Y263" s="128" t="str">
        <f t="shared" si="115"/>
        <v/>
      </c>
      <c r="Z263" s="129" t="s">
        <v>361</v>
      </c>
      <c r="AA263" s="130" t="s">
        <v>361</v>
      </c>
      <c r="AB263" s="129" t="s">
        <v>361</v>
      </c>
      <c r="AC263" s="130" t="s">
        <v>361</v>
      </c>
      <c r="AD263" s="131" t="s">
        <v>361</v>
      </c>
      <c r="AE263" s="186"/>
      <c r="AF263" s="188"/>
      <c r="AG263" s="175"/>
      <c r="AH263" s="175"/>
      <c r="AI263" s="175"/>
      <c r="AJ263" s="175"/>
      <c r="AK263" s="176"/>
      <c r="AL263" s="176"/>
      <c r="AM263" s="351"/>
      <c r="AN263" s="351"/>
    </row>
    <row r="264" spans="1:40">
      <c r="A264" s="343"/>
      <c r="B264" s="346"/>
      <c r="C264" s="346"/>
      <c r="D264" s="349"/>
      <c r="E264" s="346"/>
      <c r="F264" s="349"/>
      <c r="G264" s="346"/>
      <c r="H264" s="352"/>
      <c r="I264" s="355"/>
      <c r="J264" s="358"/>
      <c r="K264" s="361"/>
      <c r="L264" s="358">
        <v>0</v>
      </c>
      <c r="M264" s="355"/>
      <c r="N264" s="358"/>
      <c r="O264" s="364"/>
      <c r="P264" s="124">
        <v>6</v>
      </c>
      <c r="Q264" s="178"/>
      <c r="R264" s="125" t="s">
        <v>361</v>
      </c>
      <c r="S264" s="170"/>
      <c r="T264" s="170"/>
      <c r="U264" s="127" t="s">
        <v>361</v>
      </c>
      <c r="V264" s="170"/>
      <c r="W264" s="170"/>
      <c r="X264" s="170"/>
      <c r="Y264" s="128" t="str">
        <f t="shared" si="115"/>
        <v/>
      </c>
      <c r="Z264" s="129" t="s">
        <v>361</v>
      </c>
      <c r="AA264" s="130" t="s">
        <v>361</v>
      </c>
      <c r="AB264" s="129" t="s">
        <v>361</v>
      </c>
      <c r="AC264" s="130" t="s">
        <v>361</v>
      </c>
      <c r="AD264" s="131" t="s">
        <v>361</v>
      </c>
      <c r="AE264" s="186"/>
      <c r="AF264" s="207"/>
      <c r="AG264" s="175"/>
      <c r="AH264" s="175"/>
      <c r="AI264" s="175"/>
      <c r="AJ264" s="175"/>
      <c r="AK264" s="176"/>
      <c r="AL264" s="176"/>
      <c r="AM264" s="352"/>
      <c r="AN264" s="352"/>
    </row>
    <row r="265" spans="1:40" ht="67.5">
      <c r="A265" s="341">
        <v>43</v>
      </c>
      <c r="B265" s="344" t="s">
        <v>221</v>
      </c>
      <c r="C265" s="344" t="s">
        <v>125</v>
      </c>
      <c r="D265" s="344" t="s">
        <v>743</v>
      </c>
      <c r="E265" s="344" t="s">
        <v>744</v>
      </c>
      <c r="F265" s="347" t="s">
        <v>745</v>
      </c>
      <c r="G265" s="344" t="s">
        <v>115</v>
      </c>
      <c r="H265" s="350">
        <v>360</v>
      </c>
      <c r="I265" s="353" t="s">
        <v>99</v>
      </c>
      <c r="J265" s="356">
        <v>0.6</v>
      </c>
      <c r="K265" s="359" t="s">
        <v>142</v>
      </c>
      <c r="L265" s="356" t="s">
        <v>142</v>
      </c>
      <c r="M265" s="353" t="s">
        <v>77</v>
      </c>
      <c r="N265" s="356">
        <v>0.6</v>
      </c>
      <c r="O265" s="362" t="s">
        <v>77</v>
      </c>
      <c r="P265" s="124">
        <v>1</v>
      </c>
      <c r="Q265" s="217" t="s">
        <v>746</v>
      </c>
      <c r="R265" s="125" t="s">
        <v>4</v>
      </c>
      <c r="S265" s="170" t="s">
        <v>15</v>
      </c>
      <c r="T265" s="170" t="s">
        <v>9</v>
      </c>
      <c r="U265" s="127" t="s">
        <v>352</v>
      </c>
      <c r="V265" s="170" t="s">
        <v>19</v>
      </c>
      <c r="W265" s="170" t="s">
        <v>22</v>
      </c>
      <c r="X265" s="170" t="s">
        <v>111</v>
      </c>
      <c r="Y265" s="128">
        <f>IFERROR(IF(R265="Probabilidad",(J265-(+J265*U265)),IF(R265="Impacto",J265,"")),"")</f>
        <v>0.42</v>
      </c>
      <c r="Z265" s="129" t="s">
        <v>99</v>
      </c>
      <c r="AA265" s="130">
        <v>0.42</v>
      </c>
      <c r="AB265" s="129" t="s">
        <v>77</v>
      </c>
      <c r="AC265" s="130">
        <v>0.6</v>
      </c>
      <c r="AD265" s="131" t="s">
        <v>77</v>
      </c>
      <c r="AE265" s="186" t="s">
        <v>257</v>
      </c>
      <c r="AF265" s="188" t="s">
        <v>747</v>
      </c>
      <c r="AG265" s="175" t="s">
        <v>732</v>
      </c>
      <c r="AH265" s="175" t="s">
        <v>733</v>
      </c>
      <c r="AI265" s="171" t="s">
        <v>734</v>
      </c>
      <c r="AJ265" s="175" t="s">
        <v>735</v>
      </c>
      <c r="AK265" s="176">
        <v>44683</v>
      </c>
      <c r="AL265" s="176">
        <v>44926</v>
      </c>
      <c r="AM265" s="344" t="s">
        <v>748</v>
      </c>
      <c r="AN265" s="350"/>
    </row>
    <row r="266" spans="1:40" ht="81">
      <c r="A266" s="342"/>
      <c r="B266" s="345"/>
      <c r="C266" s="345"/>
      <c r="D266" s="345"/>
      <c r="E266" s="345"/>
      <c r="F266" s="348"/>
      <c r="G266" s="345"/>
      <c r="H266" s="351"/>
      <c r="I266" s="354"/>
      <c r="J266" s="357"/>
      <c r="K266" s="360"/>
      <c r="L266" s="357">
        <v>0</v>
      </c>
      <c r="M266" s="354"/>
      <c r="N266" s="357"/>
      <c r="O266" s="363"/>
      <c r="P266" s="124">
        <v>2</v>
      </c>
      <c r="Q266" s="217" t="s">
        <v>749</v>
      </c>
      <c r="R266" s="125" t="s">
        <v>2</v>
      </c>
      <c r="S266" s="170" t="s">
        <v>16</v>
      </c>
      <c r="T266" s="170" t="s">
        <v>9</v>
      </c>
      <c r="U266" s="127" t="s">
        <v>359</v>
      </c>
      <c r="V266" s="170" t="s">
        <v>19</v>
      </c>
      <c r="W266" s="170" t="s">
        <v>22</v>
      </c>
      <c r="X266" s="170" t="s">
        <v>111</v>
      </c>
      <c r="Y266" s="128">
        <f>IFERROR(IF(AND(R265="Probabilidad",R266="Probabilidad"),(AA265-(+AA265*U266)),IF(R266="Probabilidad",(J265-(+J265*U266)),IF(R266="Impacto",AA265,""))),"")</f>
        <v>0.42</v>
      </c>
      <c r="Z266" s="129" t="s">
        <v>99</v>
      </c>
      <c r="AA266" s="130">
        <v>0.42</v>
      </c>
      <c r="AB266" s="129" t="s">
        <v>77</v>
      </c>
      <c r="AC266" s="130">
        <v>0.44999999999999996</v>
      </c>
      <c r="AD266" s="131" t="s">
        <v>77</v>
      </c>
      <c r="AE266" s="186" t="s">
        <v>257</v>
      </c>
      <c r="AF266" s="188" t="s">
        <v>750</v>
      </c>
      <c r="AG266" s="175" t="s">
        <v>751</v>
      </c>
      <c r="AH266" s="175" t="s">
        <v>377</v>
      </c>
      <c r="AI266" s="171" t="s">
        <v>734</v>
      </c>
      <c r="AJ266" s="175" t="s">
        <v>752</v>
      </c>
      <c r="AK266" s="176">
        <v>44683</v>
      </c>
      <c r="AL266" s="176">
        <v>44926</v>
      </c>
      <c r="AM266" s="351"/>
      <c r="AN266" s="351"/>
    </row>
    <row r="267" spans="1:40" ht="81">
      <c r="A267" s="342"/>
      <c r="B267" s="345"/>
      <c r="C267" s="345"/>
      <c r="D267" s="345"/>
      <c r="E267" s="345"/>
      <c r="F267" s="348"/>
      <c r="G267" s="345"/>
      <c r="H267" s="351"/>
      <c r="I267" s="354"/>
      <c r="J267" s="357"/>
      <c r="K267" s="360"/>
      <c r="L267" s="357">
        <v>0</v>
      </c>
      <c r="M267" s="354"/>
      <c r="N267" s="357"/>
      <c r="O267" s="363"/>
      <c r="P267" s="124">
        <v>3</v>
      </c>
      <c r="Q267" s="218" t="s">
        <v>753</v>
      </c>
      <c r="R267" s="125" t="s">
        <v>4</v>
      </c>
      <c r="S267" s="170" t="s">
        <v>14</v>
      </c>
      <c r="T267" s="170" t="s">
        <v>9</v>
      </c>
      <c r="U267" s="127" t="s">
        <v>346</v>
      </c>
      <c r="V267" s="170" t="s">
        <v>19</v>
      </c>
      <c r="W267" s="170" t="s">
        <v>22</v>
      </c>
      <c r="X267" s="170" t="s">
        <v>111</v>
      </c>
      <c r="Y267" s="128">
        <f>IFERROR(IF(AND(R266="Probabilidad",R267="Probabilidad"),(AA266-(+AA266*U267)),IF(AND(R266="Impacto",R267="Probabilidad"),(AA265-(+AA265*U267)),IF(R267="Impacto",AA266,""))),"")</f>
        <v>0.252</v>
      </c>
      <c r="Z267" s="129" t="s">
        <v>49</v>
      </c>
      <c r="AA267" s="130">
        <v>0.252</v>
      </c>
      <c r="AB267" s="129" t="s">
        <v>77</v>
      </c>
      <c r="AC267" s="130">
        <v>0.44999999999999996</v>
      </c>
      <c r="AD267" s="131" t="s">
        <v>77</v>
      </c>
      <c r="AE267" s="186" t="s">
        <v>257</v>
      </c>
      <c r="AF267" s="188" t="s">
        <v>754</v>
      </c>
      <c r="AG267" s="175" t="s">
        <v>732</v>
      </c>
      <c r="AH267" s="175" t="s">
        <v>733</v>
      </c>
      <c r="AI267" s="171" t="s">
        <v>734</v>
      </c>
      <c r="AJ267" s="175" t="s">
        <v>735</v>
      </c>
      <c r="AK267" s="176">
        <v>44683</v>
      </c>
      <c r="AL267" s="176">
        <v>44926</v>
      </c>
      <c r="AM267" s="351"/>
      <c r="AN267" s="351"/>
    </row>
    <row r="268" spans="1:40" ht="67.5">
      <c r="A268" s="342"/>
      <c r="B268" s="345"/>
      <c r="C268" s="345"/>
      <c r="D268" s="345"/>
      <c r="E268" s="345"/>
      <c r="F268" s="348"/>
      <c r="G268" s="345"/>
      <c r="H268" s="351"/>
      <c r="I268" s="354"/>
      <c r="J268" s="357"/>
      <c r="K268" s="360"/>
      <c r="L268" s="357">
        <v>0</v>
      </c>
      <c r="M268" s="354"/>
      <c r="N268" s="357"/>
      <c r="O268" s="363"/>
      <c r="P268" s="124">
        <v>4</v>
      </c>
      <c r="Q268" s="218" t="s">
        <v>755</v>
      </c>
      <c r="R268" s="125" t="s">
        <v>4</v>
      </c>
      <c r="S268" s="170" t="s">
        <v>14</v>
      </c>
      <c r="T268" s="170" t="s">
        <v>9</v>
      </c>
      <c r="U268" s="127" t="s">
        <v>346</v>
      </c>
      <c r="V268" s="170" t="s">
        <v>19</v>
      </c>
      <c r="W268" s="170" t="s">
        <v>22</v>
      </c>
      <c r="X268" s="170" t="s">
        <v>111</v>
      </c>
      <c r="Y268" s="128">
        <f t="shared" ref="Y268:Y270" si="116">IFERROR(IF(AND(R267="Probabilidad",R268="Probabilidad"),(AA267-(+AA267*U268)),IF(AND(R267="Impacto",R268="Probabilidad"),(AA266-(+AA266*U268)),IF(R268="Impacto",AA267,""))),"")</f>
        <v>0.1512</v>
      </c>
      <c r="Z268" s="129" t="s">
        <v>47</v>
      </c>
      <c r="AA268" s="130">
        <v>0.1512</v>
      </c>
      <c r="AB268" s="129" t="s">
        <v>77</v>
      </c>
      <c r="AC268" s="130">
        <v>0.44999999999999996</v>
      </c>
      <c r="AD268" s="131" t="s">
        <v>77</v>
      </c>
      <c r="AE268" s="186" t="s">
        <v>257</v>
      </c>
      <c r="AF268" s="188" t="s">
        <v>756</v>
      </c>
      <c r="AG268" s="175" t="s">
        <v>757</v>
      </c>
      <c r="AH268" s="175" t="s">
        <v>758</v>
      </c>
      <c r="AI268" s="171" t="s">
        <v>734</v>
      </c>
      <c r="AJ268" s="175" t="s">
        <v>735</v>
      </c>
      <c r="AK268" s="176">
        <v>44683</v>
      </c>
      <c r="AL268" s="176">
        <v>44926</v>
      </c>
      <c r="AM268" s="351"/>
      <c r="AN268" s="351"/>
    </row>
    <row r="269" spans="1:40" ht="67.5">
      <c r="A269" s="342"/>
      <c r="B269" s="345"/>
      <c r="C269" s="345"/>
      <c r="D269" s="345"/>
      <c r="E269" s="345"/>
      <c r="F269" s="348"/>
      <c r="G269" s="345"/>
      <c r="H269" s="351"/>
      <c r="I269" s="354"/>
      <c r="J269" s="357"/>
      <c r="K269" s="360"/>
      <c r="L269" s="357">
        <v>0</v>
      </c>
      <c r="M269" s="354"/>
      <c r="N269" s="357"/>
      <c r="O269" s="363"/>
      <c r="P269" s="124">
        <v>5</v>
      </c>
      <c r="Q269" s="217" t="s">
        <v>759</v>
      </c>
      <c r="R269" s="125" t="s">
        <v>4</v>
      </c>
      <c r="S269" s="170" t="s">
        <v>14</v>
      </c>
      <c r="T269" s="170" t="s">
        <v>9</v>
      </c>
      <c r="U269" s="127" t="s">
        <v>346</v>
      </c>
      <c r="V269" s="170" t="s">
        <v>19</v>
      </c>
      <c r="W269" s="170" t="s">
        <v>22</v>
      </c>
      <c r="X269" s="170" t="s">
        <v>111</v>
      </c>
      <c r="Y269" s="128">
        <f t="shared" si="116"/>
        <v>9.0719999999999995E-2</v>
      </c>
      <c r="Z269" s="129" t="s">
        <v>47</v>
      </c>
      <c r="AA269" s="130">
        <v>9.0719999999999995E-2</v>
      </c>
      <c r="AB269" s="129" t="s">
        <v>77</v>
      </c>
      <c r="AC269" s="130">
        <v>0.44999999999999996</v>
      </c>
      <c r="AD269" s="131" t="s">
        <v>77</v>
      </c>
      <c r="AE269" s="186" t="s">
        <v>257</v>
      </c>
      <c r="AF269" s="188" t="s">
        <v>760</v>
      </c>
      <c r="AG269" s="175" t="s">
        <v>732</v>
      </c>
      <c r="AH269" s="175" t="s">
        <v>733</v>
      </c>
      <c r="AI269" s="171" t="s">
        <v>734</v>
      </c>
      <c r="AJ269" s="175" t="s">
        <v>735</v>
      </c>
      <c r="AK269" s="176">
        <v>44683</v>
      </c>
      <c r="AL269" s="176">
        <v>44926</v>
      </c>
      <c r="AM269" s="351"/>
      <c r="AN269" s="351"/>
    </row>
    <row r="270" spans="1:40" ht="94.5">
      <c r="A270" s="343"/>
      <c r="B270" s="346"/>
      <c r="C270" s="346"/>
      <c r="D270" s="346"/>
      <c r="E270" s="346"/>
      <c r="F270" s="349"/>
      <c r="G270" s="346"/>
      <c r="H270" s="352"/>
      <c r="I270" s="355"/>
      <c r="J270" s="358"/>
      <c r="K270" s="361"/>
      <c r="L270" s="358">
        <v>0</v>
      </c>
      <c r="M270" s="355"/>
      <c r="N270" s="358"/>
      <c r="O270" s="364"/>
      <c r="P270" s="124">
        <v>6</v>
      </c>
      <c r="Q270" s="178" t="s">
        <v>761</v>
      </c>
      <c r="R270" s="125" t="s">
        <v>4</v>
      </c>
      <c r="S270" s="170" t="s">
        <v>14</v>
      </c>
      <c r="T270" s="170" t="s">
        <v>9</v>
      </c>
      <c r="U270" s="127" t="s">
        <v>346</v>
      </c>
      <c r="V270" s="170" t="s">
        <v>19</v>
      </c>
      <c r="W270" s="170" t="s">
        <v>22</v>
      </c>
      <c r="X270" s="170" t="s">
        <v>111</v>
      </c>
      <c r="Y270" s="128">
        <f t="shared" si="116"/>
        <v>5.4431999999999994E-2</v>
      </c>
      <c r="Z270" s="129" t="s">
        <v>47</v>
      </c>
      <c r="AA270" s="130">
        <v>5.4431999999999994E-2</v>
      </c>
      <c r="AB270" s="129" t="s">
        <v>77</v>
      </c>
      <c r="AC270" s="130">
        <v>0.44999999999999996</v>
      </c>
      <c r="AD270" s="131" t="s">
        <v>77</v>
      </c>
      <c r="AE270" s="186" t="s">
        <v>257</v>
      </c>
      <c r="AF270" s="188" t="s">
        <v>762</v>
      </c>
      <c r="AG270" s="175" t="s">
        <v>757</v>
      </c>
      <c r="AH270" s="175" t="s">
        <v>758</v>
      </c>
      <c r="AI270" s="171" t="s">
        <v>734</v>
      </c>
      <c r="AJ270" s="175" t="s">
        <v>735</v>
      </c>
      <c r="AK270" s="176">
        <v>44683</v>
      </c>
      <c r="AL270" s="176">
        <v>44926</v>
      </c>
      <c r="AM270" s="352"/>
      <c r="AN270" s="352"/>
    </row>
    <row r="271" spans="1:40" ht="94.5">
      <c r="A271" s="341">
        <v>44</v>
      </c>
      <c r="B271" s="344" t="s">
        <v>221</v>
      </c>
      <c r="C271" s="344" t="s">
        <v>125</v>
      </c>
      <c r="D271" s="344" t="s">
        <v>763</v>
      </c>
      <c r="E271" s="344" t="s">
        <v>764</v>
      </c>
      <c r="F271" s="347" t="s">
        <v>765</v>
      </c>
      <c r="G271" s="344" t="s">
        <v>119</v>
      </c>
      <c r="H271" s="350">
        <v>12</v>
      </c>
      <c r="I271" s="353" t="s">
        <v>49</v>
      </c>
      <c r="J271" s="356">
        <v>0.4</v>
      </c>
      <c r="K271" s="359" t="s">
        <v>142</v>
      </c>
      <c r="L271" s="356" t="s">
        <v>142</v>
      </c>
      <c r="M271" s="353" t="s">
        <v>77</v>
      </c>
      <c r="N271" s="356">
        <v>0.6</v>
      </c>
      <c r="O271" s="362" t="s">
        <v>77</v>
      </c>
      <c r="P271" s="124">
        <v>1</v>
      </c>
      <c r="Q271" s="178" t="s">
        <v>766</v>
      </c>
      <c r="R271" s="125" t="s">
        <v>4</v>
      </c>
      <c r="S271" s="170" t="s">
        <v>14</v>
      </c>
      <c r="T271" s="170" t="s">
        <v>9</v>
      </c>
      <c r="U271" s="127" t="s">
        <v>346</v>
      </c>
      <c r="V271" s="170" t="s">
        <v>19</v>
      </c>
      <c r="W271" s="170" t="s">
        <v>22</v>
      </c>
      <c r="X271" s="170" t="s">
        <v>111</v>
      </c>
      <c r="Y271" s="128">
        <f>IFERROR(IF(R271="Probabilidad",(J271-(+J271*U271)),IF(R271="Impacto",J271,"")),"")</f>
        <v>0.24</v>
      </c>
      <c r="Z271" s="129" t="s">
        <v>49</v>
      </c>
      <c r="AA271" s="130">
        <v>0.24</v>
      </c>
      <c r="AB271" s="129" t="s">
        <v>77</v>
      </c>
      <c r="AC271" s="130">
        <v>0.6</v>
      </c>
      <c r="AD271" s="131" t="s">
        <v>77</v>
      </c>
      <c r="AE271" s="186" t="s">
        <v>257</v>
      </c>
      <c r="AF271" s="188" t="s">
        <v>767</v>
      </c>
      <c r="AG271" s="175" t="s">
        <v>732</v>
      </c>
      <c r="AH271" s="175" t="s">
        <v>733</v>
      </c>
      <c r="AI271" s="171" t="s">
        <v>734</v>
      </c>
      <c r="AJ271" s="175" t="s">
        <v>735</v>
      </c>
      <c r="AK271" s="176">
        <v>44683</v>
      </c>
      <c r="AL271" s="176">
        <v>44926</v>
      </c>
      <c r="AM271" s="344" t="s">
        <v>768</v>
      </c>
      <c r="AN271" s="350"/>
    </row>
    <row r="272" spans="1:40" ht="81">
      <c r="A272" s="342"/>
      <c r="B272" s="345"/>
      <c r="C272" s="345"/>
      <c r="D272" s="345"/>
      <c r="E272" s="345"/>
      <c r="F272" s="348"/>
      <c r="G272" s="345"/>
      <c r="H272" s="351"/>
      <c r="I272" s="354"/>
      <c r="J272" s="357"/>
      <c r="K272" s="360"/>
      <c r="L272" s="357">
        <v>0</v>
      </c>
      <c r="M272" s="354"/>
      <c r="N272" s="357"/>
      <c r="O272" s="363"/>
      <c r="P272" s="124">
        <v>2</v>
      </c>
      <c r="Q272" s="178" t="s">
        <v>769</v>
      </c>
      <c r="R272" s="125" t="s">
        <v>4</v>
      </c>
      <c r="S272" s="170" t="s">
        <v>14</v>
      </c>
      <c r="T272" s="170" t="s">
        <v>9</v>
      </c>
      <c r="U272" s="127" t="s">
        <v>346</v>
      </c>
      <c r="V272" s="170" t="s">
        <v>19</v>
      </c>
      <c r="W272" s="170" t="s">
        <v>22</v>
      </c>
      <c r="X272" s="170" t="s">
        <v>111</v>
      </c>
      <c r="Y272" s="128">
        <f>IFERROR(IF(AND(R271="Probabilidad",R272="Probabilidad"),(AA271-(+AA271*U272)),IF(R272="Probabilidad",(J271-(+J271*U272)),IF(R272="Impacto",AA271,""))),"")</f>
        <v>0.14399999999999999</v>
      </c>
      <c r="Z272" s="129" t="s">
        <v>47</v>
      </c>
      <c r="AA272" s="130">
        <v>0.14399999999999999</v>
      </c>
      <c r="AB272" s="129" t="s">
        <v>77</v>
      </c>
      <c r="AC272" s="130">
        <v>0.6</v>
      </c>
      <c r="AD272" s="131" t="s">
        <v>77</v>
      </c>
      <c r="AE272" s="186" t="s">
        <v>257</v>
      </c>
      <c r="AF272" s="188" t="s">
        <v>770</v>
      </c>
      <c r="AG272" s="175" t="s">
        <v>732</v>
      </c>
      <c r="AH272" s="175" t="s">
        <v>733</v>
      </c>
      <c r="AI272" s="171" t="s">
        <v>734</v>
      </c>
      <c r="AJ272" s="175" t="s">
        <v>735</v>
      </c>
      <c r="AK272" s="176">
        <v>44683</v>
      </c>
      <c r="AL272" s="176">
        <v>44926</v>
      </c>
      <c r="AM272" s="351"/>
      <c r="AN272" s="351"/>
    </row>
    <row r="273" spans="1:40" ht="67.5">
      <c r="A273" s="342"/>
      <c r="B273" s="345"/>
      <c r="C273" s="345"/>
      <c r="D273" s="345"/>
      <c r="E273" s="345"/>
      <c r="F273" s="348"/>
      <c r="G273" s="345"/>
      <c r="H273" s="351"/>
      <c r="I273" s="354"/>
      <c r="J273" s="357"/>
      <c r="K273" s="360"/>
      <c r="L273" s="357">
        <v>0</v>
      </c>
      <c r="M273" s="354"/>
      <c r="N273" s="357"/>
      <c r="O273" s="363"/>
      <c r="P273" s="124">
        <v>3</v>
      </c>
      <c r="Q273" s="178" t="s">
        <v>771</v>
      </c>
      <c r="R273" s="125" t="s">
        <v>4</v>
      </c>
      <c r="S273" s="170" t="s">
        <v>15</v>
      </c>
      <c r="T273" s="170" t="s">
        <v>9</v>
      </c>
      <c r="U273" s="127" t="s">
        <v>352</v>
      </c>
      <c r="V273" s="170" t="s">
        <v>19</v>
      </c>
      <c r="W273" s="170" t="s">
        <v>22</v>
      </c>
      <c r="X273" s="170" t="s">
        <v>111</v>
      </c>
      <c r="Y273" s="128">
        <f>IFERROR(IF(AND(R272="Probabilidad",R273="Probabilidad"),(AA272-(+AA272*U273)),IF(AND(R272="Impacto",R273="Probabilidad"),(AA271-(+AA271*U273)),IF(R273="Impacto",AA272,""))),"")</f>
        <v>0.1008</v>
      </c>
      <c r="Z273" s="129" t="s">
        <v>47</v>
      </c>
      <c r="AA273" s="130">
        <v>0.1008</v>
      </c>
      <c r="AB273" s="129" t="s">
        <v>77</v>
      </c>
      <c r="AC273" s="130">
        <v>0.6</v>
      </c>
      <c r="AD273" s="131" t="s">
        <v>77</v>
      </c>
      <c r="AE273" s="186" t="s">
        <v>257</v>
      </c>
      <c r="AF273" s="188" t="s">
        <v>772</v>
      </c>
      <c r="AG273" s="175" t="s">
        <v>732</v>
      </c>
      <c r="AH273" s="175" t="s">
        <v>733</v>
      </c>
      <c r="AI273" s="171" t="s">
        <v>734</v>
      </c>
      <c r="AJ273" s="175" t="s">
        <v>735</v>
      </c>
      <c r="AK273" s="176">
        <v>44683</v>
      </c>
      <c r="AL273" s="176">
        <v>44926</v>
      </c>
      <c r="AM273" s="351"/>
      <c r="AN273" s="351"/>
    </row>
    <row r="274" spans="1:40" ht="81">
      <c r="A274" s="342"/>
      <c r="B274" s="345"/>
      <c r="C274" s="345"/>
      <c r="D274" s="345"/>
      <c r="E274" s="345"/>
      <c r="F274" s="348"/>
      <c r="G274" s="345"/>
      <c r="H274" s="351"/>
      <c r="I274" s="354"/>
      <c r="J274" s="357"/>
      <c r="K274" s="360"/>
      <c r="L274" s="357">
        <v>0</v>
      </c>
      <c r="M274" s="354"/>
      <c r="N274" s="357"/>
      <c r="O274" s="363"/>
      <c r="P274" s="124">
        <v>4</v>
      </c>
      <c r="Q274" s="178" t="s">
        <v>773</v>
      </c>
      <c r="R274" s="125" t="s">
        <v>4</v>
      </c>
      <c r="S274" s="170" t="s">
        <v>14</v>
      </c>
      <c r="T274" s="170" t="s">
        <v>9</v>
      </c>
      <c r="U274" s="127" t="s">
        <v>346</v>
      </c>
      <c r="V274" s="170" t="s">
        <v>19</v>
      </c>
      <c r="W274" s="170" t="s">
        <v>22</v>
      </c>
      <c r="X274" s="170" t="s">
        <v>111</v>
      </c>
      <c r="Y274" s="128">
        <f t="shared" ref="Y274:Y276" si="117">IFERROR(IF(AND(R273="Probabilidad",R274="Probabilidad"),(AA273-(+AA273*U274)),IF(AND(R273="Impacto",R274="Probabilidad"),(AA272-(+AA272*U274)),IF(R274="Impacto",AA273,""))),"")</f>
        <v>6.0479999999999999E-2</v>
      </c>
      <c r="Z274" s="129" t="s">
        <v>47</v>
      </c>
      <c r="AA274" s="130">
        <v>6.0479999999999999E-2</v>
      </c>
      <c r="AB274" s="129" t="s">
        <v>77</v>
      </c>
      <c r="AC274" s="130">
        <v>0.6</v>
      </c>
      <c r="AD274" s="131" t="s">
        <v>77</v>
      </c>
      <c r="AE274" s="186" t="s">
        <v>257</v>
      </c>
      <c r="AF274" s="188" t="s">
        <v>774</v>
      </c>
      <c r="AG274" s="175" t="s">
        <v>757</v>
      </c>
      <c r="AH274" s="175" t="s">
        <v>758</v>
      </c>
      <c r="AI274" s="171" t="s">
        <v>734</v>
      </c>
      <c r="AJ274" s="175" t="s">
        <v>735</v>
      </c>
      <c r="AK274" s="176">
        <v>44683</v>
      </c>
      <c r="AL274" s="176">
        <v>44926</v>
      </c>
      <c r="AM274" s="351"/>
      <c r="AN274" s="351"/>
    </row>
    <row r="275" spans="1:40">
      <c r="A275" s="342"/>
      <c r="B275" s="345"/>
      <c r="C275" s="345"/>
      <c r="D275" s="345"/>
      <c r="E275" s="345"/>
      <c r="F275" s="348"/>
      <c r="G275" s="345"/>
      <c r="H275" s="351"/>
      <c r="I275" s="354"/>
      <c r="J275" s="357"/>
      <c r="K275" s="360"/>
      <c r="L275" s="357">
        <v>0</v>
      </c>
      <c r="M275" s="354"/>
      <c r="N275" s="357"/>
      <c r="O275" s="363"/>
      <c r="P275" s="124">
        <v>5</v>
      </c>
      <c r="Q275" s="178"/>
      <c r="R275" s="125" t="s">
        <v>361</v>
      </c>
      <c r="S275" s="170"/>
      <c r="T275" s="170"/>
      <c r="U275" s="127" t="s">
        <v>361</v>
      </c>
      <c r="V275" s="170"/>
      <c r="W275" s="170"/>
      <c r="X275" s="170"/>
      <c r="Y275" s="128" t="str">
        <f t="shared" si="117"/>
        <v/>
      </c>
      <c r="Z275" s="129" t="s">
        <v>361</v>
      </c>
      <c r="AA275" s="130" t="s">
        <v>361</v>
      </c>
      <c r="AB275" s="129" t="s">
        <v>361</v>
      </c>
      <c r="AC275" s="130" t="s">
        <v>361</v>
      </c>
      <c r="AD275" s="131" t="s">
        <v>361</v>
      </c>
      <c r="AE275" s="186"/>
      <c r="AF275" s="188"/>
      <c r="AG275" s="175"/>
      <c r="AH275" s="175"/>
      <c r="AI275" s="175"/>
      <c r="AJ275" s="175"/>
      <c r="AK275" s="176"/>
      <c r="AL275" s="176"/>
      <c r="AM275" s="351"/>
      <c r="AN275" s="351"/>
    </row>
    <row r="276" spans="1:40">
      <c r="A276" s="343"/>
      <c r="B276" s="346"/>
      <c r="C276" s="346"/>
      <c r="D276" s="346"/>
      <c r="E276" s="346"/>
      <c r="F276" s="349"/>
      <c r="G276" s="346"/>
      <c r="H276" s="352"/>
      <c r="I276" s="355"/>
      <c r="J276" s="358"/>
      <c r="K276" s="361"/>
      <c r="L276" s="358">
        <v>0</v>
      </c>
      <c r="M276" s="355"/>
      <c r="N276" s="358"/>
      <c r="O276" s="364"/>
      <c r="P276" s="124">
        <v>6</v>
      </c>
      <c r="Q276" s="178"/>
      <c r="R276" s="125" t="s">
        <v>361</v>
      </c>
      <c r="S276" s="170"/>
      <c r="T276" s="170"/>
      <c r="U276" s="127" t="s">
        <v>361</v>
      </c>
      <c r="V276" s="170"/>
      <c r="W276" s="170"/>
      <c r="X276" s="170"/>
      <c r="Y276" s="128" t="str">
        <f t="shared" si="117"/>
        <v/>
      </c>
      <c r="Z276" s="129" t="s">
        <v>361</v>
      </c>
      <c r="AA276" s="130" t="s">
        <v>361</v>
      </c>
      <c r="AB276" s="129" t="s">
        <v>361</v>
      </c>
      <c r="AC276" s="130" t="s">
        <v>361</v>
      </c>
      <c r="AD276" s="131" t="s">
        <v>361</v>
      </c>
      <c r="AE276" s="186"/>
      <c r="AF276" s="188"/>
      <c r="AG276" s="175"/>
      <c r="AH276" s="175"/>
      <c r="AI276" s="175"/>
      <c r="AJ276" s="175"/>
      <c r="AK276" s="176"/>
      <c r="AL276" s="176"/>
      <c r="AM276" s="352"/>
      <c r="AN276" s="352"/>
    </row>
    <row r="277" spans="1:40" ht="108">
      <c r="A277" s="341">
        <v>45</v>
      </c>
      <c r="B277" s="344" t="s">
        <v>219</v>
      </c>
      <c r="C277" s="344" t="s">
        <v>125</v>
      </c>
      <c r="D277" s="344" t="s">
        <v>775</v>
      </c>
      <c r="E277" s="344" t="s">
        <v>776</v>
      </c>
      <c r="F277" s="347" t="s">
        <v>777</v>
      </c>
      <c r="G277" s="344" t="s">
        <v>115</v>
      </c>
      <c r="H277" s="350">
        <v>3237</v>
      </c>
      <c r="I277" s="353" t="s">
        <v>6</v>
      </c>
      <c r="J277" s="356">
        <v>0.8</v>
      </c>
      <c r="K277" s="359" t="s">
        <v>142</v>
      </c>
      <c r="L277" s="356" t="s">
        <v>142</v>
      </c>
      <c r="M277" s="353" t="s">
        <v>77</v>
      </c>
      <c r="N277" s="356">
        <v>0.6</v>
      </c>
      <c r="O277" s="362" t="s">
        <v>76</v>
      </c>
      <c r="P277" s="124">
        <v>1</v>
      </c>
      <c r="Q277" s="178" t="s">
        <v>778</v>
      </c>
      <c r="R277" s="125" t="s">
        <v>4</v>
      </c>
      <c r="S277" s="170" t="s">
        <v>14</v>
      </c>
      <c r="T277" s="170" t="s">
        <v>9</v>
      </c>
      <c r="U277" s="127" t="s">
        <v>346</v>
      </c>
      <c r="V277" s="170" t="s">
        <v>19</v>
      </c>
      <c r="W277" s="170" t="s">
        <v>22</v>
      </c>
      <c r="X277" s="170" t="s">
        <v>111</v>
      </c>
      <c r="Y277" s="128">
        <f>IFERROR(IF(R277="Probabilidad",(J277-(+J277*U277)),IF(R277="Impacto",J277,"")),"")</f>
        <v>0.48</v>
      </c>
      <c r="Z277" s="129" t="s">
        <v>99</v>
      </c>
      <c r="AA277" s="130">
        <v>0.48</v>
      </c>
      <c r="AB277" s="129" t="s">
        <v>77</v>
      </c>
      <c r="AC277" s="130">
        <v>0.6</v>
      </c>
      <c r="AD277" s="131" t="s">
        <v>77</v>
      </c>
      <c r="AE277" s="186" t="s">
        <v>257</v>
      </c>
      <c r="AF277" s="188" t="s">
        <v>779</v>
      </c>
      <c r="AG277" s="175" t="s">
        <v>780</v>
      </c>
      <c r="AH277" s="175" t="s">
        <v>273</v>
      </c>
      <c r="AI277" s="175" t="s">
        <v>781</v>
      </c>
      <c r="AJ277" s="175" t="s">
        <v>782</v>
      </c>
      <c r="AK277" s="176" t="s">
        <v>783</v>
      </c>
      <c r="AL277" s="176" t="s">
        <v>784</v>
      </c>
      <c r="AM277" s="350">
        <v>4113</v>
      </c>
      <c r="AN277" s="350"/>
    </row>
    <row r="278" spans="1:40" ht="108">
      <c r="A278" s="342"/>
      <c r="B278" s="345"/>
      <c r="C278" s="345"/>
      <c r="D278" s="345"/>
      <c r="E278" s="345"/>
      <c r="F278" s="348"/>
      <c r="G278" s="345"/>
      <c r="H278" s="351"/>
      <c r="I278" s="354"/>
      <c r="J278" s="357"/>
      <c r="K278" s="360"/>
      <c r="L278" s="357">
        <v>0</v>
      </c>
      <c r="M278" s="354"/>
      <c r="N278" s="357"/>
      <c r="O278" s="363"/>
      <c r="P278" s="124">
        <v>2</v>
      </c>
      <c r="Q278" s="178" t="s">
        <v>785</v>
      </c>
      <c r="R278" s="125" t="s">
        <v>4</v>
      </c>
      <c r="S278" s="170" t="s">
        <v>15</v>
      </c>
      <c r="T278" s="170" t="s">
        <v>9</v>
      </c>
      <c r="U278" s="127" t="s">
        <v>352</v>
      </c>
      <c r="V278" s="170" t="s">
        <v>19</v>
      </c>
      <c r="W278" s="170" t="s">
        <v>22</v>
      </c>
      <c r="X278" s="170" t="s">
        <v>111</v>
      </c>
      <c r="Y278" s="128">
        <f>IFERROR(IF(AND(R277="Probabilidad",R278="Probabilidad"),(AA277-(+AA277*U278)),IF(R278="Probabilidad",(J277-(+J277*U278)),IF(R278="Impacto",AA277,""))),"")</f>
        <v>0.33599999999999997</v>
      </c>
      <c r="Z278" s="129" t="s">
        <v>49</v>
      </c>
      <c r="AA278" s="130">
        <v>0.33599999999999997</v>
      </c>
      <c r="AB278" s="129" t="s">
        <v>77</v>
      </c>
      <c r="AC278" s="130">
        <v>0.6</v>
      </c>
      <c r="AD278" s="131" t="s">
        <v>77</v>
      </c>
      <c r="AE278" s="186" t="s">
        <v>257</v>
      </c>
      <c r="AF278" s="188" t="s">
        <v>786</v>
      </c>
      <c r="AG278" s="175" t="s">
        <v>787</v>
      </c>
      <c r="AH278" s="175" t="s">
        <v>788</v>
      </c>
      <c r="AI278" s="175" t="s">
        <v>781</v>
      </c>
      <c r="AJ278" s="175" t="s">
        <v>789</v>
      </c>
      <c r="AK278" s="176" t="s">
        <v>783</v>
      </c>
      <c r="AL278" s="176" t="s">
        <v>784</v>
      </c>
      <c r="AM278" s="351"/>
      <c r="AN278" s="351"/>
    </row>
    <row r="279" spans="1:40">
      <c r="A279" s="342"/>
      <c r="B279" s="345"/>
      <c r="C279" s="345"/>
      <c r="D279" s="345"/>
      <c r="E279" s="345"/>
      <c r="F279" s="348"/>
      <c r="G279" s="345"/>
      <c r="H279" s="351"/>
      <c r="I279" s="354"/>
      <c r="J279" s="357"/>
      <c r="K279" s="360"/>
      <c r="L279" s="357">
        <v>0</v>
      </c>
      <c r="M279" s="354"/>
      <c r="N279" s="357"/>
      <c r="O279" s="363"/>
      <c r="P279" s="124">
        <v>3</v>
      </c>
      <c r="Q279" s="178"/>
      <c r="R279" s="125" t="s">
        <v>361</v>
      </c>
      <c r="S279" s="170"/>
      <c r="T279" s="170"/>
      <c r="U279" s="127" t="s">
        <v>361</v>
      </c>
      <c r="V279" s="170"/>
      <c r="W279" s="170"/>
      <c r="X279" s="170"/>
      <c r="Y279" s="128" t="str">
        <f>IFERROR(IF(AND(R278="Probabilidad",R279="Probabilidad"),(AA278-(+AA278*U279)),IF(AND(R278="Impacto",R279="Probabilidad"),(AA277-(+AA277*U279)),IF(R279="Impacto",AA278,""))),"")</f>
        <v/>
      </c>
      <c r="Z279" s="129" t="s">
        <v>361</v>
      </c>
      <c r="AA279" s="130" t="s">
        <v>361</v>
      </c>
      <c r="AB279" s="129" t="s">
        <v>361</v>
      </c>
      <c r="AC279" s="130" t="s">
        <v>361</v>
      </c>
      <c r="AD279" s="131" t="s">
        <v>361</v>
      </c>
      <c r="AE279" s="186"/>
      <c r="AF279" s="188"/>
      <c r="AG279" s="175"/>
      <c r="AH279" s="175"/>
      <c r="AI279" s="175"/>
      <c r="AJ279" s="175"/>
      <c r="AK279" s="176"/>
      <c r="AL279" s="176"/>
      <c r="AM279" s="351"/>
      <c r="AN279" s="351"/>
    </row>
    <row r="280" spans="1:40">
      <c r="A280" s="342"/>
      <c r="B280" s="345"/>
      <c r="C280" s="345"/>
      <c r="D280" s="345"/>
      <c r="E280" s="345"/>
      <c r="F280" s="348"/>
      <c r="G280" s="345"/>
      <c r="H280" s="351"/>
      <c r="I280" s="354"/>
      <c r="J280" s="357"/>
      <c r="K280" s="360"/>
      <c r="L280" s="357">
        <v>0</v>
      </c>
      <c r="M280" s="354"/>
      <c r="N280" s="357"/>
      <c r="O280" s="363"/>
      <c r="P280" s="124">
        <v>4</v>
      </c>
      <c r="Q280" s="178"/>
      <c r="R280" s="125" t="s">
        <v>361</v>
      </c>
      <c r="S280" s="170"/>
      <c r="T280" s="170"/>
      <c r="U280" s="127" t="s">
        <v>361</v>
      </c>
      <c r="V280" s="170"/>
      <c r="W280" s="170"/>
      <c r="X280" s="170"/>
      <c r="Y280" s="128" t="str">
        <f t="shared" ref="Y280:Y282" si="118">IFERROR(IF(AND(R279="Probabilidad",R280="Probabilidad"),(AA279-(+AA279*U280)),IF(AND(R279="Impacto",R280="Probabilidad"),(AA278-(+AA278*U280)),IF(R280="Impacto",AA279,""))),"")</f>
        <v/>
      </c>
      <c r="Z280" s="129" t="s">
        <v>361</v>
      </c>
      <c r="AA280" s="130" t="s">
        <v>361</v>
      </c>
      <c r="AB280" s="129" t="s">
        <v>361</v>
      </c>
      <c r="AC280" s="130" t="s">
        <v>361</v>
      </c>
      <c r="AD280" s="131" t="s">
        <v>361</v>
      </c>
      <c r="AE280" s="186"/>
      <c r="AF280" s="188"/>
      <c r="AG280" s="175"/>
      <c r="AH280" s="175"/>
      <c r="AI280" s="175"/>
      <c r="AJ280" s="175"/>
      <c r="AK280" s="176"/>
      <c r="AL280" s="176"/>
      <c r="AM280" s="351"/>
      <c r="AN280" s="351"/>
    </row>
    <row r="281" spans="1:40">
      <c r="A281" s="342"/>
      <c r="B281" s="345"/>
      <c r="C281" s="345"/>
      <c r="D281" s="345"/>
      <c r="E281" s="345"/>
      <c r="F281" s="348"/>
      <c r="G281" s="345"/>
      <c r="H281" s="351"/>
      <c r="I281" s="354"/>
      <c r="J281" s="357"/>
      <c r="K281" s="360"/>
      <c r="L281" s="357">
        <v>0</v>
      </c>
      <c r="M281" s="354"/>
      <c r="N281" s="357"/>
      <c r="O281" s="363"/>
      <c r="P281" s="124">
        <v>5</v>
      </c>
      <c r="Q281" s="178"/>
      <c r="R281" s="125" t="s">
        <v>361</v>
      </c>
      <c r="S281" s="170"/>
      <c r="T281" s="170"/>
      <c r="U281" s="127" t="s">
        <v>361</v>
      </c>
      <c r="V281" s="170"/>
      <c r="W281" s="170"/>
      <c r="X281" s="170"/>
      <c r="Y281" s="128" t="str">
        <f t="shared" si="118"/>
        <v/>
      </c>
      <c r="Z281" s="129" t="s">
        <v>361</v>
      </c>
      <c r="AA281" s="130" t="s">
        <v>361</v>
      </c>
      <c r="AB281" s="129" t="s">
        <v>361</v>
      </c>
      <c r="AC281" s="130" t="s">
        <v>361</v>
      </c>
      <c r="AD281" s="131" t="s">
        <v>361</v>
      </c>
      <c r="AE281" s="186"/>
      <c r="AF281" s="188"/>
      <c r="AG281" s="175"/>
      <c r="AH281" s="175"/>
      <c r="AI281" s="175"/>
      <c r="AJ281" s="175"/>
      <c r="AK281" s="176"/>
      <c r="AL281" s="176"/>
      <c r="AM281" s="351"/>
      <c r="AN281" s="351"/>
    </row>
    <row r="282" spans="1:40">
      <c r="A282" s="343"/>
      <c r="B282" s="346"/>
      <c r="C282" s="346"/>
      <c r="D282" s="346"/>
      <c r="E282" s="346"/>
      <c r="F282" s="349"/>
      <c r="G282" s="346"/>
      <c r="H282" s="352"/>
      <c r="I282" s="355"/>
      <c r="J282" s="358"/>
      <c r="K282" s="361"/>
      <c r="L282" s="358">
        <v>0</v>
      </c>
      <c r="M282" s="355"/>
      <c r="N282" s="358"/>
      <c r="O282" s="364"/>
      <c r="P282" s="124">
        <v>6</v>
      </c>
      <c r="Q282" s="178"/>
      <c r="R282" s="125" t="s">
        <v>361</v>
      </c>
      <c r="S282" s="170"/>
      <c r="T282" s="170"/>
      <c r="U282" s="127" t="s">
        <v>361</v>
      </c>
      <c r="V282" s="170"/>
      <c r="W282" s="170"/>
      <c r="X282" s="170"/>
      <c r="Y282" s="128" t="str">
        <f t="shared" si="118"/>
        <v/>
      </c>
      <c r="Z282" s="129" t="s">
        <v>361</v>
      </c>
      <c r="AA282" s="130" t="s">
        <v>361</v>
      </c>
      <c r="AB282" s="129" t="s">
        <v>361</v>
      </c>
      <c r="AC282" s="130" t="s">
        <v>361</v>
      </c>
      <c r="AD282" s="131" t="s">
        <v>361</v>
      </c>
      <c r="AE282" s="186"/>
      <c r="AF282" s="188"/>
      <c r="AG282" s="175"/>
      <c r="AH282" s="175"/>
      <c r="AI282" s="175"/>
      <c r="AJ282" s="175"/>
      <c r="AK282" s="176"/>
      <c r="AL282" s="176"/>
      <c r="AM282" s="352"/>
      <c r="AN282" s="352"/>
    </row>
    <row r="283" spans="1:40" ht="75">
      <c r="A283" s="341">
        <v>46</v>
      </c>
      <c r="B283" s="344" t="s">
        <v>219</v>
      </c>
      <c r="C283" s="344" t="s">
        <v>125</v>
      </c>
      <c r="D283" s="344" t="s">
        <v>790</v>
      </c>
      <c r="E283" s="344" t="s">
        <v>791</v>
      </c>
      <c r="F283" s="347" t="s">
        <v>792</v>
      </c>
      <c r="G283" s="344" t="s">
        <v>115</v>
      </c>
      <c r="H283" s="350">
        <v>3237</v>
      </c>
      <c r="I283" s="353" t="s">
        <v>6</v>
      </c>
      <c r="J283" s="356">
        <v>0.8</v>
      </c>
      <c r="K283" s="359" t="s">
        <v>142</v>
      </c>
      <c r="L283" s="356" t="s">
        <v>142</v>
      </c>
      <c r="M283" s="353" t="s">
        <v>77</v>
      </c>
      <c r="N283" s="356">
        <v>0.6</v>
      </c>
      <c r="O283" s="362" t="s">
        <v>76</v>
      </c>
      <c r="P283" s="124">
        <v>1</v>
      </c>
      <c r="Q283" s="179" t="s">
        <v>793</v>
      </c>
      <c r="R283" s="125" t="s">
        <v>4</v>
      </c>
      <c r="S283" s="170" t="s">
        <v>14</v>
      </c>
      <c r="T283" s="170" t="s">
        <v>9</v>
      </c>
      <c r="U283" s="127" t="s">
        <v>346</v>
      </c>
      <c r="V283" s="170" t="s">
        <v>19</v>
      </c>
      <c r="W283" s="170" t="s">
        <v>22</v>
      </c>
      <c r="X283" s="170" t="s">
        <v>111</v>
      </c>
      <c r="Y283" s="128">
        <f>IFERROR(IF(R283="Probabilidad",(J283-(+J283*U283)),IF(R283="Impacto",J283,"")),"")</f>
        <v>0.48</v>
      </c>
      <c r="Z283" s="129" t="s">
        <v>99</v>
      </c>
      <c r="AA283" s="130">
        <v>0.48</v>
      </c>
      <c r="AB283" s="129" t="s">
        <v>77</v>
      </c>
      <c r="AC283" s="130">
        <v>0.6</v>
      </c>
      <c r="AD283" s="131" t="s">
        <v>77</v>
      </c>
      <c r="AE283" s="186" t="s">
        <v>257</v>
      </c>
      <c r="AF283" s="185" t="s">
        <v>794</v>
      </c>
      <c r="AG283" s="175" t="s">
        <v>787</v>
      </c>
      <c r="AH283" s="175" t="s">
        <v>788</v>
      </c>
      <c r="AI283" s="175" t="s">
        <v>781</v>
      </c>
      <c r="AJ283" s="175" t="s">
        <v>789</v>
      </c>
      <c r="AK283" s="176" t="s">
        <v>783</v>
      </c>
      <c r="AL283" s="176" t="s">
        <v>784</v>
      </c>
      <c r="AM283" s="350">
        <v>4114</v>
      </c>
      <c r="AN283" s="350"/>
    </row>
    <row r="284" spans="1:40" ht="64.5">
      <c r="A284" s="342"/>
      <c r="B284" s="345"/>
      <c r="C284" s="345"/>
      <c r="D284" s="345"/>
      <c r="E284" s="345"/>
      <c r="F284" s="348"/>
      <c r="G284" s="345"/>
      <c r="H284" s="351"/>
      <c r="I284" s="354"/>
      <c r="J284" s="357"/>
      <c r="K284" s="360"/>
      <c r="L284" s="357">
        <v>0</v>
      </c>
      <c r="M284" s="354"/>
      <c r="N284" s="357"/>
      <c r="O284" s="363"/>
      <c r="P284" s="124">
        <v>2</v>
      </c>
      <c r="Q284" s="179" t="s">
        <v>795</v>
      </c>
      <c r="R284" s="125" t="s">
        <v>4</v>
      </c>
      <c r="S284" s="170" t="s">
        <v>15</v>
      </c>
      <c r="T284" s="170" t="s">
        <v>9</v>
      </c>
      <c r="U284" s="127" t="s">
        <v>352</v>
      </c>
      <c r="V284" s="170" t="s">
        <v>19</v>
      </c>
      <c r="W284" s="170" t="s">
        <v>22</v>
      </c>
      <c r="X284" s="170" t="s">
        <v>111</v>
      </c>
      <c r="Y284" s="128">
        <f>IFERROR(IF(AND(R283="Probabilidad",R284="Probabilidad"),(AA283-(+AA283*U284)),IF(R284="Probabilidad",(J283-(+J283*U284)),IF(R284="Impacto",AA283,""))),"")</f>
        <v>0.33599999999999997</v>
      </c>
      <c r="Z284" s="129" t="s">
        <v>49</v>
      </c>
      <c r="AA284" s="130">
        <v>0.33599999999999997</v>
      </c>
      <c r="AB284" s="129" t="s">
        <v>77</v>
      </c>
      <c r="AC284" s="130">
        <v>0.6</v>
      </c>
      <c r="AD284" s="131" t="s">
        <v>77</v>
      </c>
      <c r="AE284" s="186" t="s">
        <v>257</v>
      </c>
      <c r="AF284" s="175" t="s">
        <v>796</v>
      </c>
      <c r="AG284" s="175" t="s">
        <v>787</v>
      </c>
      <c r="AH284" s="175" t="s">
        <v>788</v>
      </c>
      <c r="AI284" s="175" t="s">
        <v>781</v>
      </c>
      <c r="AJ284" s="175" t="s">
        <v>789</v>
      </c>
      <c r="AK284" s="176" t="s">
        <v>783</v>
      </c>
      <c r="AL284" s="176" t="s">
        <v>784</v>
      </c>
      <c r="AM284" s="351"/>
      <c r="AN284" s="351"/>
    </row>
    <row r="285" spans="1:40">
      <c r="A285" s="342"/>
      <c r="B285" s="345"/>
      <c r="C285" s="345"/>
      <c r="D285" s="345"/>
      <c r="E285" s="345"/>
      <c r="F285" s="348"/>
      <c r="G285" s="345"/>
      <c r="H285" s="351"/>
      <c r="I285" s="354"/>
      <c r="J285" s="357"/>
      <c r="K285" s="360"/>
      <c r="L285" s="357">
        <v>0</v>
      </c>
      <c r="M285" s="354"/>
      <c r="N285" s="357"/>
      <c r="O285" s="363"/>
      <c r="P285" s="124">
        <v>3</v>
      </c>
      <c r="Q285" s="179"/>
      <c r="R285" s="125" t="s">
        <v>361</v>
      </c>
      <c r="S285" s="170"/>
      <c r="T285" s="170"/>
      <c r="U285" s="127" t="s">
        <v>361</v>
      </c>
      <c r="V285" s="170"/>
      <c r="W285" s="170"/>
      <c r="X285" s="170"/>
      <c r="Y285" s="128" t="str">
        <f>IFERROR(IF(AND(R284="Probabilidad",R285="Probabilidad"),(AA284-(+AA284*U285)),IF(AND(R284="Impacto",R285="Probabilidad"),(AA283-(+AA283*U285)),IF(R285="Impacto",AA284,""))),"")</f>
        <v/>
      </c>
      <c r="Z285" s="129" t="s">
        <v>361</v>
      </c>
      <c r="AA285" s="130" t="s">
        <v>361</v>
      </c>
      <c r="AB285" s="129" t="s">
        <v>361</v>
      </c>
      <c r="AC285" s="130" t="s">
        <v>361</v>
      </c>
      <c r="AD285" s="131" t="s">
        <v>361</v>
      </c>
      <c r="AE285" s="186"/>
      <c r="AF285" s="188"/>
      <c r="AG285" s="175"/>
      <c r="AH285" s="175"/>
      <c r="AI285" s="175"/>
      <c r="AJ285" s="175"/>
      <c r="AK285" s="176"/>
      <c r="AL285" s="176"/>
      <c r="AM285" s="351"/>
      <c r="AN285" s="351"/>
    </row>
    <row r="286" spans="1:40">
      <c r="A286" s="342"/>
      <c r="B286" s="345"/>
      <c r="C286" s="345"/>
      <c r="D286" s="345"/>
      <c r="E286" s="345"/>
      <c r="F286" s="348"/>
      <c r="G286" s="345"/>
      <c r="H286" s="351"/>
      <c r="I286" s="354"/>
      <c r="J286" s="357"/>
      <c r="K286" s="360"/>
      <c r="L286" s="357">
        <v>0</v>
      </c>
      <c r="M286" s="354"/>
      <c r="N286" s="357"/>
      <c r="O286" s="363"/>
      <c r="P286" s="124">
        <v>4</v>
      </c>
      <c r="Q286" s="178"/>
      <c r="R286" s="125" t="s">
        <v>361</v>
      </c>
      <c r="S286" s="170"/>
      <c r="T286" s="170"/>
      <c r="U286" s="127" t="s">
        <v>361</v>
      </c>
      <c r="V286" s="170"/>
      <c r="W286" s="170"/>
      <c r="X286" s="170"/>
      <c r="Y286" s="128" t="str">
        <f t="shared" ref="Y286:Y288" si="119">IFERROR(IF(AND(R285="Probabilidad",R286="Probabilidad"),(AA285-(+AA285*U286)),IF(AND(R285="Impacto",R286="Probabilidad"),(AA284-(+AA284*U286)),IF(R286="Impacto",AA285,""))),"")</f>
        <v/>
      </c>
      <c r="Z286" s="129" t="s">
        <v>361</v>
      </c>
      <c r="AA286" s="130" t="s">
        <v>361</v>
      </c>
      <c r="AB286" s="129" t="s">
        <v>361</v>
      </c>
      <c r="AC286" s="130" t="s">
        <v>361</v>
      </c>
      <c r="AD286" s="131" t="s">
        <v>361</v>
      </c>
      <c r="AE286" s="186"/>
      <c r="AF286" s="188"/>
      <c r="AG286" s="175"/>
      <c r="AH286" s="175"/>
      <c r="AI286" s="175"/>
      <c r="AJ286" s="175"/>
      <c r="AK286" s="176"/>
      <c r="AL286" s="176"/>
      <c r="AM286" s="351"/>
      <c r="AN286" s="351"/>
    </row>
    <row r="287" spans="1:40">
      <c r="A287" s="342"/>
      <c r="B287" s="345"/>
      <c r="C287" s="345"/>
      <c r="D287" s="345"/>
      <c r="E287" s="345"/>
      <c r="F287" s="348"/>
      <c r="G287" s="345"/>
      <c r="H287" s="351"/>
      <c r="I287" s="354"/>
      <c r="J287" s="357"/>
      <c r="K287" s="360"/>
      <c r="L287" s="357">
        <v>0</v>
      </c>
      <c r="M287" s="354"/>
      <c r="N287" s="357"/>
      <c r="O287" s="363"/>
      <c r="P287" s="124">
        <v>5</v>
      </c>
      <c r="Q287" s="178"/>
      <c r="R287" s="125" t="s">
        <v>361</v>
      </c>
      <c r="S287" s="170"/>
      <c r="T287" s="170"/>
      <c r="U287" s="127" t="s">
        <v>361</v>
      </c>
      <c r="V287" s="170"/>
      <c r="W287" s="170"/>
      <c r="X287" s="170"/>
      <c r="Y287" s="128" t="str">
        <f t="shared" si="119"/>
        <v/>
      </c>
      <c r="Z287" s="129" t="s">
        <v>361</v>
      </c>
      <c r="AA287" s="130" t="s">
        <v>361</v>
      </c>
      <c r="AB287" s="129" t="s">
        <v>361</v>
      </c>
      <c r="AC287" s="130" t="s">
        <v>361</v>
      </c>
      <c r="AD287" s="131" t="s">
        <v>361</v>
      </c>
      <c r="AE287" s="186"/>
      <c r="AF287" s="188"/>
      <c r="AG287" s="175"/>
      <c r="AH287" s="175"/>
      <c r="AI287" s="175"/>
      <c r="AJ287" s="175"/>
      <c r="AK287" s="176"/>
      <c r="AL287" s="176"/>
      <c r="AM287" s="351"/>
      <c r="AN287" s="351"/>
    </row>
    <row r="288" spans="1:40">
      <c r="A288" s="343"/>
      <c r="B288" s="346"/>
      <c r="C288" s="346"/>
      <c r="D288" s="346"/>
      <c r="E288" s="346"/>
      <c r="F288" s="349"/>
      <c r="G288" s="346"/>
      <c r="H288" s="352"/>
      <c r="I288" s="355"/>
      <c r="J288" s="358"/>
      <c r="K288" s="361"/>
      <c r="L288" s="358">
        <v>0</v>
      </c>
      <c r="M288" s="355"/>
      <c r="N288" s="358"/>
      <c r="O288" s="364"/>
      <c r="P288" s="124">
        <v>6</v>
      </c>
      <c r="Q288" s="178"/>
      <c r="R288" s="125" t="s">
        <v>361</v>
      </c>
      <c r="S288" s="170"/>
      <c r="T288" s="170"/>
      <c r="U288" s="127" t="s">
        <v>361</v>
      </c>
      <c r="V288" s="170"/>
      <c r="W288" s="170"/>
      <c r="X288" s="170"/>
      <c r="Y288" s="128" t="str">
        <f t="shared" si="119"/>
        <v/>
      </c>
      <c r="Z288" s="129" t="s">
        <v>361</v>
      </c>
      <c r="AA288" s="130" t="s">
        <v>361</v>
      </c>
      <c r="AB288" s="129" t="s">
        <v>361</v>
      </c>
      <c r="AC288" s="130" t="s">
        <v>361</v>
      </c>
      <c r="AD288" s="131" t="s">
        <v>361</v>
      </c>
      <c r="AE288" s="186"/>
      <c r="AF288" s="188"/>
      <c r="AG288" s="175"/>
      <c r="AH288" s="175"/>
      <c r="AI288" s="175"/>
      <c r="AJ288" s="175"/>
      <c r="AK288" s="176"/>
      <c r="AL288" s="176"/>
      <c r="AM288" s="352"/>
      <c r="AN288" s="352"/>
    </row>
    <row r="289" spans="1:40" ht="54">
      <c r="A289" s="341">
        <v>47</v>
      </c>
      <c r="B289" s="344" t="s">
        <v>222</v>
      </c>
      <c r="C289" s="344" t="s">
        <v>125</v>
      </c>
      <c r="D289" s="344" t="s">
        <v>797</v>
      </c>
      <c r="E289" s="344" t="s">
        <v>798</v>
      </c>
      <c r="F289" s="347" t="s">
        <v>799</v>
      </c>
      <c r="G289" s="344" t="s">
        <v>115</v>
      </c>
      <c r="H289" s="350">
        <v>1000</v>
      </c>
      <c r="I289" s="353" t="s">
        <v>6</v>
      </c>
      <c r="J289" s="356">
        <v>0.8</v>
      </c>
      <c r="K289" s="359" t="s">
        <v>133</v>
      </c>
      <c r="L289" s="356" t="s">
        <v>133</v>
      </c>
      <c r="M289" s="353" t="s">
        <v>800</v>
      </c>
      <c r="N289" s="356">
        <v>0.2</v>
      </c>
      <c r="O289" s="362" t="s">
        <v>77</v>
      </c>
      <c r="P289" s="124">
        <v>1</v>
      </c>
      <c r="Q289" s="178" t="s">
        <v>801</v>
      </c>
      <c r="R289" s="125" t="s">
        <v>4</v>
      </c>
      <c r="S289" s="170" t="s">
        <v>14</v>
      </c>
      <c r="T289" s="170" t="s">
        <v>9</v>
      </c>
      <c r="U289" s="127" t="s">
        <v>346</v>
      </c>
      <c r="V289" s="170" t="s">
        <v>19</v>
      </c>
      <c r="W289" s="170" t="s">
        <v>22</v>
      </c>
      <c r="X289" s="170" t="s">
        <v>111</v>
      </c>
      <c r="Y289" s="128">
        <f>IFERROR(IF(R289="Probabilidad",(J289-(+J289*U289)),IF(R289="Impacto",J289,"")),"")</f>
        <v>0.48</v>
      </c>
      <c r="Z289" s="129" t="s">
        <v>99</v>
      </c>
      <c r="AA289" s="130">
        <v>0.48</v>
      </c>
      <c r="AB289" s="129" t="s">
        <v>800</v>
      </c>
      <c r="AC289" s="130">
        <v>0.2</v>
      </c>
      <c r="AD289" s="131" t="s">
        <v>77</v>
      </c>
      <c r="AE289" s="186" t="s">
        <v>257</v>
      </c>
      <c r="AF289" s="188" t="s">
        <v>802</v>
      </c>
      <c r="AG289" s="175" t="s">
        <v>803</v>
      </c>
      <c r="AH289" s="175" t="s">
        <v>804</v>
      </c>
      <c r="AI289" s="175" t="s">
        <v>805</v>
      </c>
      <c r="AJ289" s="175" t="s">
        <v>806</v>
      </c>
      <c r="AK289" s="176" t="s">
        <v>807</v>
      </c>
      <c r="AL289" s="176" t="s">
        <v>433</v>
      </c>
      <c r="AM289" s="350" t="s">
        <v>808</v>
      </c>
      <c r="AN289" s="350"/>
    </row>
    <row r="290" spans="1:40" ht="54">
      <c r="A290" s="342"/>
      <c r="B290" s="345"/>
      <c r="C290" s="345"/>
      <c r="D290" s="345"/>
      <c r="E290" s="345"/>
      <c r="F290" s="348"/>
      <c r="G290" s="345"/>
      <c r="H290" s="351"/>
      <c r="I290" s="354"/>
      <c r="J290" s="357"/>
      <c r="K290" s="360"/>
      <c r="L290" s="357">
        <v>0</v>
      </c>
      <c r="M290" s="354"/>
      <c r="N290" s="357"/>
      <c r="O290" s="363"/>
      <c r="P290" s="124">
        <v>2</v>
      </c>
      <c r="Q290" s="178" t="s">
        <v>809</v>
      </c>
      <c r="R290" s="125" t="s">
        <v>4</v>
      </c>
      <c r="S290" s="170" t="s">
        <v>14</v>
      </c>
      <c r="T290" s="170" t="s">
        <v>9</v>
      </c>
      <c r="U290" s="127" t="s">
        <v>346</v>
      </c>
      <c r="V290" s="170" t="s">
        <v>19</v>
      </c>
      <c r="W290" s="170" t="s">
        <v>22</v>
      </c>
      <c r="X290" s="170" t="s">
        <v>111</v>
      </c>
      <c r="Y290" s="128">
        <f>IFERROR(IF(AND(R289="Probabilidad",R290="Probabilidad"),(AA289-(+AA289*U290)),IF(R290="Probabilidad",(J289-(+J289*U290)),IF(R290="Impacto",AA289,""))),"")</f>
        <v>0.28799999999999998</v>
      </c>
      <c r="Z290" s="129" t="s">
        <v>49</v>
      </c>
      <c r="AA290" s="130">
        <v>0.28799999999999998</v>
      </c>
      <c r="AB290" s="129" t="s">
        <v>800</v>
      </c>
      <c r="AC290" s="130">
        <v>0.2</v>
      </c>
      <c r="AD290" s="131" t="s">
        <v>78</v>
      </c>
      <c r="AE290" s="186" t="s">
        <v>257</v>
      </c>
      <c r="AF290" s="188" t="s">
        <v>810</v>
      </c>
      <c r="AG290" s="175" t="s">
        <v>803</v>
      </c>
      <c r="AH290" s="175" t="s">
        <v>804</v>
      </c>
      <c r="AI290" s="175" t="s">
        <v>805</v>
      </c>
      <c r="AJ290" s="175" t="s">
        <v>806</v>
      </c>
      <c r="AK290" s="176" t="s">
        <v>807</v>
      </c>
      <c r="AL290" s="176" t="s">
        <v>433</v>
      </c>
      <c r="AM290" s="351"/>
      <c r="AN290" s="351"/>
    </row>
    <row r="291" spans="1:40" ht="48">
      <c r="A291" s="342"/>
      <c r="B291" s="345"/>
      <c r="C291" s="345"/>
      <c r="D291" s="345"/>
      <c r="E291" s="345"/>
      <c r="F291" s="348"/>
      <c r="G291" s="345"/>
      <c r="H291" s="351"/>
      <c r="I291" s="354"/>
      <c r="J291" s="357"/>
      <c r="K291" s="360"/>
      <c r="L291" s="357">
        <v>0</v>
      </c>
      <c r="M291" s="354"/>
      <c r="N291" s="357"/>
      <c r="O291" s="363"/>
      <c r="P291" s="124">
        <v>3</v>
      </c>
      <c r="Q291" s="178" t="s">
        <v>811</v>
      </c>
      <c r="R291" s="125" t="s">
        <v>4</v>
      </c>
      <c r="S291" s="170" t="s">
        <v>14</v>
      </c>
      <c r="T291" s="170" t="s">
        <v>10</v>
      </c>
      <c r="U291" s="127" t="s">
        <v>812</v>
      </c>
      <c r="V291" s="170" t="s">
        <v>19</v>
      </c>
      <c r="W291" s="170" t="s">
        <v>22</v>
      </c>
      <c r="X291" s="170" t="s">
        <v>111</v>
      </c>
      <c r="Y291" s="128">
        <f>IFERROR(IF(AND(R290="Probabilidad",R291="Probabilidad"),(AA290-(+AA290*U291)),IF(AND(R290="Impacto",R291="Probabilidad"),(AA289-(+AA289*U291)),IF(R291="Impacto",AA290,""))),"")</f>
        <v>0.14399999999999999</v>
      </c>
      <c r="Z291" s="129" t="s">
        <v>47</v>
      </c>
      <c r="AA291" s="130">
        <v>0.14399999999999999</v>
      </c>
      <c r="AB291" s="129" t="s">
        <v>800</v>
      </c>
      <c r="AC291" s="130">
        <v>0.2</v>
      </c>
      <c r="AD291" s="131" t="s">
        <v>78</v>
      </c>
      <c r="AE291" s="186" t="s">
        <v>257</v>
      </c>
      <c r="AF291" s="188" t="s">
        <v>813</v>
      </c>
      <c r="AG291" s="175" t="s">
        <v>803</v>
      </c>
      <c r="AH291" s="175" t="s">
        <v>804</v>
      </c>
      <c r="AI291" s="175" t="s">
        <v>805</v>
      </c>
      <c r="AJ291" s="175" t="s">
        <v>806</v>
      </c>
      <c r="AK291" s="176" t="s">
        <v>807</v>
      </c>
      <c r="AL291" s="176" t="s">
        <v>433</v>
      </c>
      <c r="AM291" s="351"/>
      <c r="AN291" s="351"/>
    </row>
    <row r="292" spans="1:40">
      <c r="A292" s="342"/>
      <c r="B292" s="345"/>
      <c r="C292" s="345"/>
      <c r="D292" s="345"/>
      <c r="E292" s="345"/>
      <c r="F292" s="348"/>
      <c r="G292" s="345"/>
      <c r="H292" s="351"/>
      <c r="I292" s="354"/>
      <c r="J292" s="357"/>
      <c r="K292" s="360"/>
      <c r="L292" s="357">
        <v>0</v>
      </c>
      <c r="M292" s="354"/>
      <c r="N292" s="357"/>
      <c r="O292" s="363"/>
      <c r="P292" s="124">
        <v>4</v>
      </c>
      <c r="Q292" s="178"/>
      <c r="R292" s="125" t="s">
        <v>361</v>
      </c>
      <c r="S292" s="170"/>
      <c r="T292" s="170"/>
      <c r="U292" s="127" t="s">
        <v>361</v>
      </c>
      <c r="V292" s="170"/>
      <c r="W292" s="170"/>
      <c r="X292" s="170"/>
      <c r="Y292" s="128" t="str">
        <f t="shared" ref="Y292:Y294" si="120">IFERROR(IF(AND(R291="Probabilidad",R292="Probabilidad"),(AA291-(+AA291*U292)),IF(AND(R291="Impacto",R292="Probabilidad"),(AA290-(+AA290*U292)),IF(R292="Impacto",AA291,""))),"")</f>
        <v/>
      </c>
      <c r="Z292" s="129" t="s">
        <v>361</v>
      </c>
      <c r="AA292" s="130" t="s">
        <v>361</v>
      </c>
      <c r="AB292" s="129" t="s">
        <v>361</v>
      </c>
      <c r="AC292" s="130" t="s">
        <v>361</v>
      </c>
      <c r="AD292" s="131" t="s">
        <v>361</v>
      </c>
      <c r="AE292" s="186"/>
      <c r="AF292" s="188"/>
      <c r="AG292" s="175"/>
      <c r="AH292" s="175"/>
      <c r="AI292" s="175"/>
      <c r="AJ292" s="175"/>
      <c r="AK292" s="176"/>
      <c r="AL292" s="176"/>
      <c r="AM292" s="351"/>
      <c r="AN292" s="351"/>
    </row>
    <row r="293" spans="1:40">
      <c r="A293" s="342"/>
      <c r="B293" s="345"/>
      <c r="C293" s="345"/>
      <c r="D293" s="345"/>
      <c r="E293" s="345"/>
      <c r="F293" s="348"/>
      <c r="G293" s="345"/>
      <c r="H293" s="351"/>
      <c r="I293" s="354"/>
      <c r="J293" s="357"/>
      <c r="K293" s="360"/>
      <c r="L293" s="357">
        <v>0</v>
      </c>
      <c r="M293" s="354"/>
      <c r="N293" s="357"/>
      <c r="O293" s="363"/>
      <c r="P293" s="124">
        <v>5</v>
      </c>
      <c r="Q293" s="178"/>
      <c r="R293" s="125" t="s">
        <v>361</v>
      </c>
      <c r="S293" s="170"/>
      <c r="T293" s="170"/>
      <c r="U293" s="127" t="s">
        <v>361</v>
      </c>
      <c r="V293" s="170"/>
      <c r="W293" s="170"/>
      <c r="X293" s="170"/>
      <c r="Y293" s="128" t="str">
        <f t="shared" si="120"/>
        <v/>
      </c>
      <c r="Z293" s="129" t="s">
        <v>361</v>
      </c>
      <c r="AA293" s="130" t="s">
        <v>361</v>
      </c>
      <c r="AB293" s="129" t="s">
        <v>361</v>
      </c>
      <c r="AC293" s="130" t="s">
        <v>361</v>
      </c>
      <c r="AD293" s="131" t="s">
        <v>361</v>
      </c>
      <c r="AE293" s="186"/>
      <c r="AF293" s="188"/>
      <c r="AG293" s="175"/>
      <c r="AH293" s="175"/>
      <c r="AI293" s="175"/>
      <c r="AJ293" s="175"/>
      <c r="AK293" s="176"/>
      <c r="AL293" s="176"/>
      <c r="AM293" s="351"/>
      <c r="AN293" s="351"/>
    </row>
    <row r="294" spans="1:40">
      <c r="A294" s="343"/>
      <c r="B294" s="346"/>
      <c r="C294" s="346"/>
      <c r="D294" s="346"/>
      <c r="E294" s="346"/>
      <c r="F294" s="349"/>
      <c r="G294" s="346"/>
      <c r="H294" s="352"/>
      <c r="I294" s="355"/>
      <c r="J294" s="358"/>
      <c r="K294" s="361"/>
      <c r="L294" s="358">
        <v>0</v>
      </c>
      <c r="M294" s="355"/>
      <c r="N294" s="358"/>
      <c r="O294" s="364"/>
      <c r="P294" s="124">
        <v>6</v>
      </c>
      <c r="Q294" s="178"/>
      <c r="R294" s="125" t="s">
        <v>361</v>
      </c>
      <c r="S294" s="170"/>
      <c r="T294" s="170"/>
      <c r="U294" s="127" t="s">
        <v>361</v>
      </c>
      <c r="V294" s="170"/>
      <c r="W294" s="170"/>
      <c r="X294" s="170"/>
      <c r="Y294" s="128" t="str">
        <f t="shared" si="120"/>
        <v/>
      </c>
      <c r="Z294" s="129" t="s">
        <v>361</v>
      </c>
      <c r="AA294" s="130" t="s">
        <v>361</v>
      </c>
      <c r="AB294" s="129" t="s">
        <v>361</v>
      </c>
      <c r="AC294" s="130" t="s">
        <v>361</v>
      </c>
      <c r="AD294" s="131" t="s">
        <v>361</v>
      </c>
      <c r="AE294" s="186"/>
      <c r="AF294" s="188"/>
      <c r="AG294" s="175"/>
      <c r="AH294" s="175"/>
      <c r="AI294" s="175"/>
      <c r="AJ294" s="175"/>
      <c r="AK294" s="176"/>
      <c r="AL294" s="176"/>
      <c r="AM294" s="352"/>
      <c r="AN294" s="352"/>
    </row>
    <row r="295" spans="1:40" ht="54">
      <c r="A295" s="341">
        <v>48</v>
      </c>
      <c r="B295" s="344" t="s">
        <v>222</v>
      </c>
      <c r="C295" s="344" t="s">
        <v>123</v>
      </c>
      <c r="D295" s="344" t="s">
        <v>814</v>
      </c>
      <c r="E295" s="344" t="s">
        <v>815</v>
      </c>
      <c r="F295" s="347" t="s">
        <v>816</v>
      </c>
      <c r="G295" s="344" t="s">
        <v>115</v>
      </c>
      <c r="H295" s="350">
        <v>4</v>
      </c>
      <c r="I295" s="353" t="s">
        <v>49</v>
      </c>
      <c r="J295" s="356">
        <v>0.4</v>
      </c>
      <c r="K295" s="359" t="s">
        <v>141</v>
      </c>
      <c r="L295" s="356" t="s">
        <v>141</v>
      </c>
      <c r="M295" s="353" t="s">
        <v>80</v>
      </c>
      <c r="N295" s="356">
        <v>0.4</v>
      </c>
      <c r="O295" s="362" t="s">
        <v>77</v>
      </c>
      <c r="P295" s="124">
        <v>1</v>
      </c>
      <c r="Q295" s="178" t="s">
        <v>817</v>
      </c>
      <c r="R295" s="125" t="s">
        <v>4</v>
      </c>
      <c r="S295" s="170" t="s">
        <v>14</v>
      </c>
      <c r="T295" s="170" t="s">
        <v>9</v>
      </c>
      <c r="U295" s="127" t="s">
        <v>346</v>
      </c>
      <c r="V295" s="170" t="s">
        <v>19</v>
      </c>
      <c r="W295" s="170" t="s">
        <v>22</v>
      </c>
      <c r="X295" s="170" t="s">
        <v>111</v>
      </c>
      <c r="Y295" s="128">
        <f>IFERROR(IF(R295="Probabilidad",(J295-(+J295*U295)),IF(R295="Impacto",J295,"")),"")</f>
        <v>0.24</v>
      </c>
      <c r="Z295" s="129" t="s">
        <v>49</v>
      </c>
      <c r="AA295" s="130">
        <v>0.24</v>
      </c>
      <c r="AB295" s="129" t="s">
        <v>80</v>
      </c>
      <c r="AC295" s="130">
        <v>0.4</v>
      </c>
      <c r="AD295" s="131" t="s">
        <v>77</v>
      </c>
      <c r="AE295" s="186" t="s">
        <v>257</v>
      </c>
      <c r="AF295" s="188" t="s">
        <v>818</v>
      </c>
      <c r="AG295" s="175" t="s">
        <v>803</v>
      </c>
      <c r="AH295" s="175" t="s">
        <v>804</v>
      </c>
      <c r="AI295" s="175" t="s">
        <v>819</v>
      </c>
      <c r="AJ295" s="175" t="s">
        <v>806</v>
      </c>
      <c r="AK295" s="176" t="s">
        <v>807</v>
      </c>
      <c r="AL295" s="176" t="s">
        <v>433</v>
      </c>
      <c r="AM295" s="350" t="s">
        <v>820</v>
      </c>
      <c r="AN295" s="350"/>
    </row>
    <row r="296" spans="1:40" ht="54">
      <c r="A296" s="342"/>
      <c r="B296" s="345"/>
      <c r="C296" s="345"/>
      <c r="D296" s="345"/>
      <c r="E296" s="345"/>
      <c r="F296" s="348"/>
      <c r="G296" s="345"/>
      <c r="H296" s="351"/>
      <c r="I296" s="354"/>
      <c r="J296" s="357"/>
      <c r="K296" s="360"/>
      <c r="L296" s="357">
        <v>0</v>
      </c>
      <c r="M296" s="354"/>
      <c r="N296" s="357"/>
      <c r="O296" s="363"/>
      <c r="P296" s="124">
        <v>2</v>
      </c>
      <c r="Q296" s="178" t="s">
        <v>821</v>
      </c>
      <c r="R296" s="125" t="s">
        <v>4</v>
      </c>
      <c r="S296" s="170" t="s">
        <v>14</v>
      </c>
      <c r="T296" s="170" t="s">
        <v>9</v>
      </c>
      <c r="U296" s="127" t="s">
        <v>346</v>
      </c>
      <c r="V296" s="170" t="s">
        <v>19</v>
      </c>
      <c r="W296" s="170" t="s">
        <v>22</v>
      </c>
      <c r="X296" s="170" t="s">
        <v>111</v>
      </c>
      <c r="Y296" s="128">
        <f>IFERROR(IF(AND(R295="Probabilidad",R296="Probabilidad"),(AA295-(+AA295*U296)),IF(R296="Probabilidad",(J295-(+J295*U296)),IF(R296="Impacto",AA295,""))),"")</f>
        <v>0.14399999999999999</v>
      </c>
      <c r="Z296" s="129" t="s">
        <v>47</v>
      </c>
      <c r="AA296" s="130">
        <v>0.14399999999999999</v>
      </c>
      <c r="AB296" s="129" t="s">
        <v>80</v>
      </c>
      <c r="AC296" s="130">
        <v>0.4</v>
      </c>
      <c r="AD296" s="131" t="s">
        <v>78</v>
      </c>
      <c r="AE296" s="186" t="s">
        <v>257</v>
      </c>
      <c r="AF296" s="188" t="s">
        <v>822</v>
      </c>
      <c r="AG296" s="175" t="s">
        <v>803</v>
      </c>
      <c r="AH296" s="175" t="s">
        <v>804</v>
      </c>
      <c r="AI296" s="175" t="s">
        <v>819</v>
      </c>
      <c r="AJ296" s="175" t="s">
        <v>806</v>
      </c>
      <c r="AK296" s="176" t="s">
        <v>807</v>
      </c>
      <c r="AL296" s="176" t="s">
        <v>433</v>
      </c>
      <c r="AM296" s="351"/>
      <c r="AN296" s="351"/>
    </row>
    <row r="297" spans="1:40" ht="54">
      <c r="A297" s="342"/>
      <c r="B297" s="345"/>
      <c r="C297" s="345"/>
      <c r="D297" s="345"/>
      <c r="E297" s="345"/>
      <c r="F297" s="348"/>
      <c r="G297" s="345"/>
      <c r="H297" s="351"/>
      <c r="I297" s="354"/>
      <c r="J297" s="357"/>
      <c r="K297" s="360"/>
      <c r="L297" s="357">
        <v>0</v>
      </c>
      <c r="M297" s="354"/>
      <c r="N297" s="357"/>
      <c r="O297" s="363"/>
      <c r="P297" s="124">
        <v>3</v>
      </c>
      <c r="Q297" s="179" t="s">
        <v>823</v>
      </c>
      <c r="R297" s="125" t="s">
        <v>4</v>
      </c>
      <c r="S297" s="170" t="s">
        <v>14</v>
      </c>
      <c r="T297" s="170" t="s">
        <v>9</v>
      </c>
      <c r="U297" s="127" t="s">
        <v>346</v>
      </c>
      <c r="V297" s="170" t="s">
        <v>19</v>
      </c>
      <c r="W297" s="170" t="s">
        <v>22</v>
      </c>
      <c r="X297" s="170" t="s">
        <v>111</v>
      </c>
      <c r="Y297" s="128">
        <f>IFERROR(IF(AND(R296="Probabilidad",R297="Probabilidad"),(AA296-(+AA296*U297)),IF(AND(R296="Impacto",R297="Probabilidad"),(AA295-(+AA295*U297)),IF(R297="Impacto",AA296,""))),"")</f>
        <v>8.6399999999999991E-2</v>
      </c>
      <c r="Z297" s="129" t="s">
        <v>47</v>
      </c>
      <c r="AA297" s="130">
        <v>8.6399999999999991E-2</v>
      </c>
      <c r="AB297" s="129" t="s">
        <v>80</v>
      </c>
      <c r="AC297" s="130">
        <v>0.4</v>
      </c>
      <c r="AD297" s="131" t="s">
        <v>78</v>
      </c>
      <c r="AE297" s="186" t="s">
        <v>257</v>
      </c>
      <c r="AF297" s="188" t="s">
        <v>824</v>
      </c>
      <c r="AG297" s="175" t="s">
        <v>803</v>
      </c>
      <c r="AH297" s="175" t="s">
        <v>804</v>
      </c>
      <c r="AI297" s="175" t="s">
        <v>819</v>
      </c>
      <c r="AJ297" s="175" t="s">
        <v>806</v>
      </c>
      <c r="AK297" s="176" t="s">
        <v>807</v>
      </c>
      <c r="AL297" s="176" t="s">
        <v>433</v>
      </c>
      <c r="AM297" s="351"/>
      <c r="AN297" s="351"/>
    </row>
    <row r="298" spans="1:40">
      <c r="A298" s="342"/>
      <c r="B298" s="345"/>
      <c r="C298" s="345"/>
      <c r="D298" s="345"/>
      <c r="E298" s="345"/>
      <c r="F298" s="348"/>
      <c r="G298" s="345"/>
      <c r="H298" s="351"/>
      <c r="I298" s="354"/>
      <c r="J298" s="357"/>
      <c r="K298" s="360"/>
      <c r="L298" s="357">
        <v>0</v>
      </c>
      <c r="M298" s="354"/>
      <c r="N298" s="357"/>
      <c r="O298" s="363"/>
      <c r="P298" s="124">
        <v>4</v>
      </c>
      <c r="Q298" s="178"/>
      <c r="R298" s="125" t="s">
        <v>361</v>
      </c>
      <c r="S298" s="170"/>
      <c r="T298" s="170"/>
      <c r="U298" s="127" t="s">
        <v>361</v>
      </c>
      <c r="V298" s="170"/>
      <c r="W298" s="170"/>
      <c r="X298" s="170"/>
      <c r="Y298" s="128" t="str">
        <f t="shared" ref="Y298:Y300" si="121">IFERROR(IF(AND(R297="Probabilidad",R298="Probabilidad"),(AA297-(+AA297*U298)),IF(AND(R297="Impacto",R298="Probabilidad"),(AA296-(+AA296*U298)),IF(R298="Impacto",AA297,""))),"")</f>
        <v/>
      </c>
      <c r="Z298" s="129" t="s">
        <v>361</v>
      </c>
      <c r="AA298" s="130" t="s">
        <v>361</v>
      </c>
      <c r="AB298" s="129" t="s">
        <v>361</v>
      </c>
      <c r="AC298" s="130" t="s">
        <v>361</v>
      </c>
      <c r="AD298" s="131" t="s">
        <v>361</v>
      </c>
      <c r="AE298" s="186"/>
      <c r="AF298" s="188"/>
      <c r="AG298" s="175"/>
      <c r="AH298" s="175"/>
      <c r="AI298" s="175"/>
      <c r="AJ298" s="175"/>
      <c r="AK298" s="176"/>
      <c r="AL298" s="176"/>
      <c r="AM298" s="351"/>
      <c r="AN298" s="351"/>
    </row>
    <row r="299" spans="1:40">
      <c r="A299" s="342"/>
      <c r="B299" s="345"/>
      <c r="C299" s="345"/>
      <c r="D299" s="345"/>
      <c r="E299" s="345"/>
      <c r="F299" s="348"/>
      <c r="G299" s="345"/>
      <c r="H299" s="351"/>
      <c r="I299" s="354"/>
      <c r="J299" s="357"/>
      <c r="K299" s="360"/>
      <c r="L299" s="357">
        <v>0</v>
      </c>
      <c r="M299" s="354"/>
      <c r="N299" s="357"/>
      <c r="O299" s="363"/>
      <c r="P299" s="124">
        <v>5</v>
      </c>
      <c r="Q299" s="178"/>
      <c r="R299" s="125" t="s">
        <v>361</v>
      </c>
      <c r="S299" s="170"/>
      <c r="T299" s="170"/>
      <c r="U299" s="127" t="s">
        <v>361</v>
      </c>
      <c r="V299" s="170"/>
      <c r="W299" s="170"/>
      <c r="X299" s="170"/>
      <c r="Y299" s="128" t="str">
        <f t="shared" si="121"/>
        <v/>
      </c>
      <c r="Z299" s="129" t="s">
        <v>361</v>
      </c>
      <c r="AA299" s="130" t="s">
        <v>361</v>
      </c>
      <c r="AB299" s="129" t="s">
        <v>361</v>
      </c>
      <c r="AC299" s="130" t="s">
        <v>361</v>
      </c>
      <c r="AD299" s="131" t="s">
        <v>361</v>
      </c>
      <c r="AE299" s="186"/>
      <c r="AF299" s="188"/>
      <c r="AG299" s="175"/>
      <c r="AH299" s="175"/>
      <c r="AI299" s="175"/>
      <c r="AJ299" s="175"/>
      <c r="AK299" s="176"/>
      <c r="AL299" s="176"/>
      <c r="AM299" s="351"/>
      <c r="AN299" s="351"/>
    </row>
    <row r="300" spans="1:40">
      <c r="A300" s="343"/>
      <c r="B300" s="346"/>
      <c r="C300" s="346"/>
      <c r="D300" s="346"/>
      <c r="E300" s="346"/>
      <c r="F300" s="349"/>
      <c r="G300" s="346"/>
      <c r="H300" s="352"/>
      <c r="I300" s="355"/>
      <c r="J300" s="358"/>
      <c r="K300" s="361"/>
      <c r="L300" s="358">
        <v>0</v>
      </c>
      <c r="M300" s="355"/>
      <c r="N300" s="358"/>
      <c r="O300" s="364"/>
      <c r="P300" s="124">
        <v>6</v>
      </c>
      <c r="Q300" s="178"/>
      <c r="R300" s="125" t="s">
        <v>361</v>
      </c>
      <c r="S300" s="170"/>
      <c r="T300" s="170"/>
      <c r="U300" s="127" t="s">
        <v>361</v>
      </c>
      <c r="V300" s="170"/>
      <c r="W300" s="170"/>
      <c r="X300" s="170"/>
      <c r="Y300" s="128" t="str">
        <f t="shared" si="121"/>
        <v/>
      </c>
      <c r="Z300" s="129" t="s">
        <v>361</v>
      </c>
      <c r="AA300" s="130" t="s">
        <v>361</v>
      </c>
      <c r="AB300" s="129" t="s">
        <v>361</v>
      </c>
      <c r="AC300" s="130" t="s">
        <v>361</v>
      </c>
      <c r="AD300" s="131" t="s">
        <v>361</v>
      </c>
      <c r="AE300" s="186"/>
      <c r="AF300" s="188"/>
      <c r="AG300" s="175"/>
      <c r="AH300" s="175"/>
      <c r="AI300" s="175"/>
      <c r="AJ300" s="175"/>
      <c r="AK300" s="176"/>
      <c r="AL300" s="176"/>
      <c r="AM300" s="352"/>
      <c r="AN300" s="352"/>
    </row>
    <row r="301" spans="1:40" ht="54">
      <c r="A301" s="341">
        <v>49</v>
      </c>
      <c r="B301" s="344" t="s">
        <v>222</v>
      </c>
      <c r="C301" s="344" t="s">
        <v>123</v>
      </c>
      <c r="D301" s="344" t="s">
        <v>825</v>
      </c>
      <c r="E301" s="344" t="s">
        <v>826</v>
      </c>
      <c r="F301" s="347" t="s">
        <v>827</v>
      </c>
      <c r="G301" s="344" t="s">
        <v>115</v>
      </c>
      <c r="H301" s="350">
        <v>20000</v>
      </c>
      <c r="I301" s="353" t="s">
        <v>50</v>
      </c>
      <c r="J301" s="356">
        <v>1</v>
      </c>
      <c r="K301" s="359" t="s">
        <v>142</v>
      </c>
      <c r="L301" s="356" t="s">
        <v>142</v>
      </c>
      <c r="M301" s="353" t="s">
        <v>77</v>
      </c>
      <c r="N301" s="356">
        <v>0.6</v>
      </c>
      <c r="O301" s="362" t="s">
        <v>76</v>
      </c>
      <c r="P301" s="124">
        <v>1</v>
      </c>
      <c r="Q301" s="219" t="s">
        <v>828</v>
      </c>
      <c r="R301" s="125" t="s">
        <v>4</v>
      </c>
      <c r="S301" s="170" t="s">
        <v>15</v>
      </c>
      <c r="T301" s="170" t="s">
        <v>9</v>
      </c>
      <c r="U301" s="127" t="s">
        <v>352</v>
      </c>
      <c r="V301" s="170" t="s">
        <v>19</v>
      </c>
      <c r="W301" s="170" t="s">
        <v>22</v>
      </c>
      <c r="X301" s="170" t="s">
        <v>111</v>
      </c>
      <c r="Y301" s="128">
        <f>IFERROR(IF(R301="Probabilidad",(J301-(+J301*U301)),IF(R301="Impacto",J301,"")),"")</f>
        <v>0.7</v>
      </c>
      <c r="Z301" s="129" t="s">
        <v>6</v>
      </c>
      <c r="AA301" s="130">
        <v>0.7</v>
      </c>
      <c r="AB301" s="129" t="s">
        <v>77</v>
      </c>
      <c r="AC301" s="130">
        <v>0.6</v>
      </c>
      <c r="AD301" s="131" t="s">
        <v>76</v>
      </c>
      <c r="AE301" s="186" t="s">
        <v>257</v>
      </c>
      <c r="AF301" s="188" t="s">
        <v>829</v>
      </c>
      <c r="AG301" s="175" t="s">
        <v>830</v>
      </c>
      <c r="AH301" s="175" t="s">
        <v>831</v>
      </c>
      <c r="AI301" s="175" t="s">
        <v>832</v>
      </c>
      <c r="AJ301" s="175" t="s">
        <v>833</v>
      </c>
      <c r="AK301" s="176" t="s">
        <v>807</v>
      </c>
      <c r="AL301" s="176" t="s">
        <v>433</v>
      </c>
      <c r="AM301" s="350" t="s">
        <v>834</v>
      </c>
      <c r="AN301" s="350"/>
    </row>
    <row r="302" spans="1:40" ht="54">
      <c r="A302" s="342"/>
      <c r="B302" s="345"/>
      <c r="C302" s="345"/>
      <c r="D302" s="345"/>
      <c r="E302" s="345"/>
      <c r="F302" s="348"/>
      <c r="G302" s="345"/>
      <c r="H302" s="351"/>
      <c r="I302" s="354"/>
      <c r="J302" s="357"/>
      <c r="K302" s="360"/>
      <c r="L302" s="357">
        <v>0</v>
      </c>
      <c r="M302" s="354"/>
      <c r="N302" s="357"/>
      <c r="O302" s="363"/>
      <c r="P302" s="124">
        <v>2</v>
      </c>
      <c r="Q302" s="219" t="s">
        <v>835</v>
      </c>
      <c r="R302" s="125" t="s">
        <v>4</v>
      </c>
      <c r="S302" s="170" t="s">
        <v>14</v>
      </c>
      <c r="T302" s="170" t="s">
        <v>9</v>
      </c>
      <c r="U302" s="127" t="s">
        <v>346</v>
      </c>
      <c r="V302" s="170" t="s">
        <v>19</v>
      </c>
      <c r="W302" s="170" t="s">
        <v>22</v>
      </c>
      <c r="X302" s="170" t="s">
        <v>111</v>
      </c>
      <c r="Y302" s="128">
        <f>IFERROR(IF(AND(R301="Probabilidad",R302="Probabilidad"),(AA301-(+AA301*U302)),IF(R302="Probabilidad",(J301-(+J301*U302)),IF(R302="Impacto",AA301,""))),"")</f>
        <v>0.42</v>
      </c>
      <c r="Z302" s="129" t="s">
        <v>99</v>
      </c>
      <c r="AA302" s="130">
        <v>0.42</v>
      </c>
      <c r="AB302" s="129" t="s">
        <v>77</v>
      </c>
      <c r="AC302" s="130">
        <v>0.6</v>
      </c>
      <c r="AD302" s="131" t="s">
        <v>77</v>
      </c>
      <c r="AE302" s="186" t="s">
        <v>32</v>
      </c>
      <c r="AF302" s="188" t="s">
        <v>836</v>
      </c>
      <c r="AG302" s="175" t="s">
        <v>837</v>
      </c>
      <c r="AH302" s="175" t="s">
        <v>377</v>
      </c>
      <c r="AI302" s="175" t="s">
        <v>832</v>
      </c>
      <c r="AJ302" s="175" t="s">
        <v>833</v>
      </c>
      <c r="AK302" s="176" t="s">
        <v>807</v>
      </c>
      <c r="AL302" s="176" t="s">
        <v>433</v>
      </c>
      <c r="AM302" s="351"/>
      <c r="AN302" s="351"/>
    </row>
    <row r="303" spans="1:40">
      <c r="A303" s="342"/>
      <c r="B303" s="345"/>
      <c r="C303" s="345"/>
      <c r="D303" s="345"/>
      <c r="E303" s="345"/>
      <c r="F303" s="348"/>
      <c r="G303" s="345"/>
      <c r="H303" s="351"/>
      <c r="I303" s="354"/>
      <c r="J303" s="357"/>
      <c r="K303" s="360"/>
      <c r="L303" s="357">
        <v>0</v>
      </c>
      <c r="M303" s="354"/>
      <c r="N303" s="357"/>
      <c r="O303" s="363"/>
      <c r="P303" s="124">
        <v>3</v>
      </c>
      <c r="Q303" s="179"/>
      <c r="R303" s="125" t="s">
        <v>361</v>
      </c>
      <c r="S303" s="170"/>
      <c r="T303" s="170"/>
      <c r="U303" s="127" t="s">
        <v>361</v>
      </c>
      <c r="V303" s="170"/>
      <c r="W303" s="170"/>
      <c r="X303" s="170"/>
      <c r="Y303" s="128" t="str">
        <f>IFERROR(IF(AND(R302="Probabilidad",R303="Probabilidad"),(AA302-(+AA302*U303)),IF(AND(R302="Impacto",R303="Probabilidad"),(AA301-(+AA301*U303)),IF(R303="Impacto",AA302,""))),"")</f>
        <v/>
      </c>
      <c r="Z303" s="129" t="s">
        <v>361</v>
      </c>
      <c r="AA303" s="130" t="s">
        <v>361</v>
      </c>
      <c r="AB303" s="129" t="s">
        <v>361</v>
      </c>
      <c r="AC303" s="130" t="s">
        <v>361</v>
      </c>
      <c r="AD303" s="131" t="s">
        <v>361</v>
      </c>
      <c r="AE303" s="186"/>
      <c r="AF303" s="188"/>
      <c r="AG303" s="175"/>
      <c r="AH303" s="175"/>
      <c r="AI303" s="175"/>
      <c r="AJ303" s="175"/>
      <c r="AK303" s="176"/>
      <c r="AL303" s="176"/>
      <c r="AM303" s="351"/>
      <c r="AN303" s="351"/>
    </row>
    <row r="304" spans="1:40">
      <c r="A304" s="342"/>
      <c r="B304" s="345"/>
      <c r="C304" s="345"/>
      <c r="D304" s="345"/>
      <c r="E304" s="345"/>
      <c r="F304" s="348"/>
      <c r="G304" s="345"/>
      <c r="H304" s="351"/>
      <c r="I304" s="354"/>
      <c r="J304" s="357"/>
      <c r="K304" s="360"/>
      <c r="L304" s="357">
        <v>0</v>
      </c>
      <c r="M304" s="354"/>
      <c r="N304" s="357"/>
      <c r="O304" s="363"/>
      <c r="P304" s="124">
        <v>4</v>
      </c>
      <c r="Q304" s="178"/>
      <c r="R304" s="125" t="s">
        <v>361</v>
      </c>
      <c r="S304" s="170"/>
      <c r="T304" s="170"/>
      <c r="U304" s="127" t="s">
        <v>361</v>
      </c>
      <c r="V304" s="170"/>
      <c r="W304" s="170"/>
      <c r="X304" s="170"/>
      <c r="Y304" s="128" t="str">
        <f t="shared" ref="Y304:Y306" si="122">IFERROR(IF(AND(R303="Probabilidad",R304="Probabilidad"),(AA303-(+AA303*U304)),IF(AND(R303="Impacto",R304="Probabilidad"),(AA302-(+AA302*U304)),IF(R304="Impacto",AA303,""))),"")</f>
        <v/>
      </c>
      <c r="Z304" s="129" t="s">
        <v>361</v>
      </c>
      <c r="AA304" s="130" t="s">
        <v>361</v>
      </c>
      <c r="AB304" s="129" t="s">
        <v>361</v>
      </c>
      <c r="AC304" s="130" t="s">
        <v>361</v>
      </c>
      <c r="AD304" s="131" t="s">
        <v>361</v>
      </c>
      <c r="AE304" s="186"/>
      <c r="AF304" s="188"/>
      <c r="AG304" s="175"/>
      <c r="AH304" s="175"/>
      <c r="AI304" s="175"/>
      <c r="AJ304" s="175"/>
      <c r="AK304" s="176"/>
      <c r="AL304" s="176"/>
      <c r="AM304" s="351"/>
      <c r="AN304" s="351"/>
    </row>
    <row r="305" spans="1:40">
      <c r="A305" s="342"/>
      <c r="B305" s="345"/>
      <c r="C305" s="345"/>
      <c r="D305" s="345"/>
      <c r="E305" s="345"/>
      <c r="F305" s="348"/>
      <c r="G305" s="345"/>
      <c r="H305" s="351"/>
      <c r="I305" s="354"/>
      <c r="J305" s="357"/>
      <c r="K305" s="360"/>
      <c r="L305" s="357">
        <v>0</v>
      </c>
      <c r="M305" s="354"/>
      <c r="N305" s="357"/>
      <c r="O305" s="363"/>
      <c r="P305" s="124">
        <v>5</v>
      </c>
      <c r="Q305" s="178"/>
      <c r="R305" s="125" t="s">
        <v>361</v>
      </c>
      <c r="S305" s="170"/>
      <c r="T305" s="170"/>
      <c r="U305" s="127" t="s">
        <v>361</v>
      </c>
      <c r="V305" s="170"/>
      <c r="W305" s="170"/>
      <c r="X305" s="170"/>
      <c r="Y305" s="128" t="str">
        <f t="shared" si="122"/>
        <v/>
      </c>
      <c r="Z305" s="129" t="s">
        <v>361</v>
      </c>
      <c r="AA305" s="130" t="s">
        <v>361</v>
      </c>
      <c r="AB305" s="129" t="s">
        <v>361</v>
      </c>
      <c r="AC305" s="130" t="s">
        <v>361</v>
      </c>
      <c r="AD305" s="131" t="s">
        <v>361</v>
      </c>
      <c r="AE305" s="186"/>
      <c r="AF305" s="188"/>
      <c r="AG305" s="175"/>
      <c r="AH305" s="175"/>
      <c r="AI305" s="175"/>
      <c r="AJ305" s="175"/>
      <c r="AK305" s="176"/>
      <c r="AL305" s="176"/>
      <c r="AM305" s="351"/>
      <c r="AN305" s="351"/>
    </row>
    <row r="306" spans="1:40">
      <c r="A306" s="343"/>
      <c r="B306" s="346"/>
      <c r="C306" s="346"/>
      <c r="D306" s="346"/>
      <c r="E306" s="346"/>
      <c r="F306" s="349"/>
      <c r="G306" s="346"/>
      <c r="H306" s="352"/>
      <c r="I306" s="355"/>
      <c r="J306" s="358"/>
      <c r="K306" s="361"/>
      <c r="L306" s="358">
        <v>0</v>
      </c>
      <c r="M306" s="355"/>
      <c r="N306" s="358"/>
      <c r="O306" s="364"/>
      <c r="P306" s="124">
        <v>6</v>
      </c>
      <c r="Q306" s="178"/>
      <c r="R306" s="125" t="s">
        <v>361</v>
      </c>
      <c r="S306" s="170"/>
      <c r="T306" s="170"/>
      <c r="U306" s="127" t="s">
        <v>361</v>
      </c>
      <c r="V306" s="170"/>
      <c r="W306" s="170"/>
      <c r="X306" s="170"/>
      <c r="Y306" s="128" t="str">
        <f t="shared" si="122"/>
        <v/>
      </c>
      <c r="Z306" s="129" t="s">
        <v>361</v>
      </c>
      <c r="AA306" s="130" t="s">
        <v>361</v>
      </c>
      <c r="AB306" s="129" t="s">
        <v>361</v>
      </c>
      <c r="AC306" s="130" t="s">
        <v>361</v>
      </c>
      <c r="AD306" s="131" t="s">
        <v>361</v>
      </c>
      <c r="AE306" s="186"/>
      <c r="AF306" s="188"/>
      <c r="AG306" s="175"/>
      <c r="AH306" s="175"/>
      <c r="AI306" s="175"/>
      <c r="AJ306" s="175"/>
      <c r="AK306" s="176"/>
      <c r="AL306" s="176"/>
      <c r="AM306" s="352"/>
      <c r="AN306" s="352"/>
    </row>
    <row r="307" spans="1:40" ht="48">
      <c r="A307" s="341">
        <v>50</v>
      </c>
      <c r="B307" s="344" t="s">
        <v>222</v>
      </c>
      <c r="C307" s="344" t="s">
        <v>124</v>
      </c>
      <c r="D307" s="344" t="s">
        <v>838</v>
      </c>
      <c r="E307" s="344" t="s">
        <v>839</v>
      </c>
      <c r="F307" s="347" t="s">
        <v>840</v>
      </c>
      <c r="G307" s="344" t="s">
        <v>115</v>
      </c>
      <c r="H307" s="350">
        <v>2184</v>
      </c>
      <c r="I307" s="353" t="s">
        <v>6</v>
      </c>
      <c r="J307" s="356">
        <v>0.8</v>
      </c>
      <c r="K307" s="359" t="s">
        <v>133</v>
      </c>
      <c r="L307" s="356" t="s">
        <v>133</v>
      </c>
      <c r="M307" s="353" t="s">
        <v>800</v>
      </c>
      <c r="N307" s="356">
        <v>0.2</v>
      </c>
      <c r="O307" s="362" t="s">
        <v>77</v>
      </c>
      <c r="P307" s="124">
        <v>1</v>
      </c>
      <c r="Q307" s="219" t="s">
        <v>841</v>
      </c>
      <c r="R307" s="125" t="s">
        <v>4</v>
      </c>
      <c r="S307" s="170" t="s">
        <v>14</v>
      </c>
      <c r="T307" s="170" t="s">
        <v>9</v>
      </c>
      <c r="U307" s="127" t="s">
        <v>346</v>
      </c>
      <c r="V307" s="170" t="s">
        <v>19</v>
      </c>
      <c r="W307" s="170" t="s">
        <v>22</v>
      </c>
      <c r="X307" s="170" t="s">
        <v>111</v>
      </c>
      <c r="Y307" s="128">
        <f>IFERROR(IF(R307="Probabilidad",(J307-(+J307*U307)),IF(R307="Impacto",J307,"")),"")</f>
        <v>0.48</v>
      </c>
      <c r="Z307" s="129" t="s">
        <v>99</v>
      </c>
      <c r="AA307" s="130">
        <v>0.48</v>
      </c>
      <c r="AB307" s="129" t="s">
        <v>800</v>
      </c>
      <c r="AC307" s="130">
        <v>0.2</v>
      </c>
      <c r="AD307" s="131" t="s">
        <v>77</v>
      </c>
      <c r="AE307" s="186" t="s">
        <v>257</v>
      </c>
      <c r="AF307" s="187" t="s">
        <v>842</v>
      </c>
      <c r="AG307" s="185" t="s">
        <v>837</v>
      </c>
      <c r="AH307" s="185" t="s">
        <v>377</v>
      </c>
      <c r="AI307" s="185" t="s">
        <v>832</v>
      </c>
      <c r="AJ307" s="185" t="s">
        <v>833</v>
      </c>
      <c r="AK307" s="176" t="s">
        <v>807</v>
      </c>
      <c r="AL307" s="220" t="s">
        <v>433</v>
      </c>
      <c r="AM307" s="350" t="s">
        <v>843</v>
      </c>
      <c r="AN307" s="350"/>
    </row>
    <row r="308" spans="1:40" ht="48">
      <c r="A308" s="342"/>
      <c r="B308" s="345"/>
      <c r="C308" s="345"/>
      <c r="D308" s="345"/>
      <c r="E308" s="345"/>
      <c r="F308" s="348"/>
      <c r="G308" s="345"/>
      <c r="H308" s="351"/>
      <c r="I308" s="354"/>
      <c r="J308" s="357"/>
      <c r="K308" s="360"/>
      <c r="L308" s="357">
        <v>0</v>
      </c>
      <c r="M308" s="354"/>
      <c r="N308" s="357"/>
      <c r="O308" s="363"/>
      <c r="P308" s="124">
        <v>2</v>
      </c>
      <c r="Q308" s="219" t="s">
        <v>844</v>
      </c>
      <c r="R308" s="125" t="s">
        <v>4</v>
      </c>
      <c r="S308" s="170" t="s">
        <v>15</v>
      </c>
      <c r="T308" s="170" t="s">
        <v>9</v>
      </c>
      <c r="U308" s="127" t="s">
        <v>352</v>
      </c>
      <c r="V308" s="170" t="s">
        <v>19</v>
      </c>
      <c r="W308" s="170" t="s">
        <v>22</v>
      </c>
      <c r="X308" s="170" t="s">
        <v>111</v>
      </c>
      <c r="Y308" s="128">
        <f>IFERROR(IF(AND(R307="Probabilidad",R308="Probabilidad"),(AA307-(+AA307*U308)),IF(R308="Probabilidad",(J307-(+J307*U308)),IF(R308="Impacto",AA307,""))),"")</f>
        <v>0.33599999999999997</v>
      </c>
      <c r="Z308" s="129" t="s">
        <v>49</v>
      </c>
      <c r="AA308" s="130">
        <v>0.33599999999999997</v>
      </c>
      <c r="AB308" s="129" t="s">
        <v>800</v>
      </c>
      <c r="AC308" s="130">
        <v>0.2</v>
      </c>
      <c r="AD308" s="131" t="s">
        <v>78</v>
      </c>
      <c r="AE308" s="186" t="s">
        <v>257</v>
      </c>
      <c r="AF308" s="187" t="s">
        <v>845</v>
      </c>
      <c r="AG308" s="185" t="s">
        <v>830</v>
      </c>
      <c r="AH308" s="185" t="s">
        <v>831</v>
      </c>
      <c r="AI308" s="185" t="s">
        <v>832</v>
      </c>
      <c r="AJ308" s="185" t="s">
        <v>833</v>
      </c>
      <c r="AK308" s="176" t="s">
        <v>807</v>
      </c>
      <c r="AL308" s="220" t="s">
        <v>433</v>
      </c>
      <c r="AM308" s="351"/>
      <c r="AN308" s="351"/>
    </row>
    <row r="309" spans="1:40" ht="48">
      <c r="A309" s="342"/>
      <c r="B309" s="345"/>
      <c r="C309" s="345"/>
      <c r="D309" s="345"/>
      <c r="E309" s="345"/>
      <c r="F309" s="348"/>
      <c r="G309" s="345"/>
      <c r="H309" s="351"/>
      <c r="I309" s="354"/>
      <c r="J309" s="357"/>
      <c r="K309" s="360"/>
      <c r="L309" s="357">
        <v>0</v>
      </c>
      <c r="M309" s="354"/>
      <c r="N309" s="357"/>
      <c r="O309" s="363"/>
      <c r="P309" s="124">
        <v>3</v>
      </c>
      <c r="Q309" s="221" t="s">
        <v>846</v>
      </c>
      <c r="R309" s="125" t="s">
        <v>2</v>
      </c>
      <c r="S309" s="170" t="s">
        <v>16</v>
      </c>
      <c r="T309" s="170" t="s">
        <v>9</v>
      </c>
      <c r="U309" s="127" t="s">
        <v>359</v>
      </c>
      <c r="V309" s="170" t="s">
        <v>19</v>
      </c>
      <c r="W309" s="170" t="s">
        <v>22</v>
      </c>
      <c r="X309" s="170" t="s">
        <v>111</v>
      </c>
      <c r="Y309" s="128">
        <f>IFERROR(IF(AND(R308="Probabilidad",R309="Probabilidad"),(AA308-(+AA308*U309)),IF(AND(R308="Impacto",R309="Probabilidad"),(AA307-(+AA307*U309)),IF(R309="Impacto",AA308,""))),"")</f>
        <v>0.33599999999999997</v>
      </c>
      <c r="Z309" s="129" t="s">
        <v>49</v>
      </c>
      <c r="AA309" s="130">
        <v>0.33599999999999997</v>
      </c>
      <c r="AB309" s="129" t="s">
        <v>800</v>
      </c>
      <c r="AC309" s="130">
        <v>0.15000000000000002</v>
      </c>
      <c r="AD309" s="131" t="s">
        <v>78</v>
      </c>
      <c r="AE309" s="186" t="s">
        <v>257</v>
      </c>
      <c r="AF309" s="187" t="s">
        <v>847</v>
      </c>
      <c r="AG309" s="185" t="s">
        <v>833</v>
      </c>
      <c r="AH309" s="185" t="s">
        <v>848</v>
      </c>
      <c r="AI309" s="185" t="s">
        <v>832</v>
      </c>
      <c r="AJ309" s="185" t="s">
        <v>833</v>
      </c>
      <c r="AK309" s="176" t="s">
        <v>807</v>
      </c>
      <c r="AL309" s="220" t="s">
        <v>433</v>
      </c>
      <c r="AM309" s="351"/>
      <c r="AN309" s="351"/>
    </row>
    <row r="310" spans="1:40" ht="54">
      <c r="A310" s="342"/>
      <c r="B310" s="345"/>
      <c r="C310" s="345"/>
      <c r="D310" s="345"/>
      <c r="E310" s="345"/>
      <c r="F310" s="348"/>
      <c r="G310" s="345"/>
      <c r="H310" s="351"/>
      <c r="I310" s="354"/>
      <c r="J310" s="357"/>
      <c r="K310" s="360"/>
      <c r="L310" s="357">
        <v>0</v>
      </c>
      <c r="M310" s="354"/>
      <c r="N310" s="357"/>
      <c r="O310" s="363"/>
      <c r="P310" s="124">
        <v>4</v>
      </c>
      <c r="Q310" s="219" t="s">
        <v>849</v>
      </c>
      <c r="R310" s="125" t="s">
        <v>4</v>
      </c>
      <c r="S310" s="170" t="s">
        <v>14</v>
      </c>
      <c r="T310" s="170" t="s">
        <v>9</v>
      </c>
      <c r="U310" s="127" t="s">
        <v>346</v>
      </c>
      <c r="V310" s="170" t="s">
        <v>19</v>
      </c>
      <c r="W310" s="170" t="s">
        <v>22</v>
      </c>
      <c r="X310" s="170" t="s">
        <v>111</v>
      </c>
      <c r="Y310" s="128">
        <f t="shared" ref="Y310:Y312" si="123">IFERROR(IF(AND(R309="Probabilidad",R310="Probabilidad"),(AA309-(+AA309*U310)),IF(AND(R309="Impacto",R310="Probabilidad"),(AA308-(+AA308*U310)),IF(R310="Impacto",AA309,""))),"")</f>
        <v>0.20159999999999997</v>
      </c>
      <c r="Z310" s="129" t="s">
        <v>49</v>
      </c>
      <c r="AA310" s="130">
        <v>0.20159999999999997</v>
      </c>
      <c r="AB310" s="129" t="s">
        <v>800</v>
      </c>
      <c r="AC310" s="130">
        <v>0.15000000000000002</v>
      </c>
      <c r="AD310" s="131" t="s">
        <v>78</v>
      </c>
      <c r="AE310" s="186" t="s">
        <v>32</v>
      </c>
      <c r="AF310" s="187" t="s">
        <v>850</v>
      </c>
      <c r="AG310" s="185" t="s">
        <v>833</v>
      </c>
      <c r="AH310" s="185" t="s">
        <v>848</v>
      </c>
      <c r="AI310" s="185" t="s">
        <v>832</v>
      </c>
      <c r="AJ310" s="185" t="s">
        <v>833</v>
      </c>
      <c r="AK310" s="176" t="s">
        <v>807</v>
      </c>
      <c r="AL310" s="220" t="s">
        <v>433</v>
      </c>
      <c r="AM310" s="351"/>
      <c r="AN310" s="351"/>
    </row>
    <row r="311" spans="1:40">
      <c r="A311" s="342"/>
      <c r="B311" s="345"/>
      <c r="C311" s="345"/>
      <c r="D311" s="345"/>
      <c r="E311" s="345"/>
      <c r="F311" s="348"/>
      <c r="G311" s="345"/>
      <c r="H311" s="351"/>
      <c r="I311" s="354"/>
      <c r="J311" s="357"/>
      <c r="K311" s="360"/>
      <c r="L311" s="357">
        <v>0</v>
      </c>
      <c r="M311" s="354"/>
      <c r="N311" s="357"/>
      <c r="O311" s="363"/>
      <c r="P311" s="124">
        <v>5</v>
      </c>
      <c r="Q311" s="178"/>
      <c r="R311" s="125" t="s">
        <v>361</v>
      </c>
      <c r="S311" s="170"/>
      <c r="T311" s="170"/>
      <c r="U311" s="127" t="s">
        <v>361</v>
      </c>
      <c r="V311" s="170"/>
      <c r="W311" s="170"/>
      <c r="X311" s="170"/>
      <c r="Y311" s="128" t="str">
        <f t="shared" si="123"/>
        <v/>
      </c>
      <c r="Z311" s="129" t="s">
        <v>361</v>
      </c>
      <c r="AA311" s="130" t="s">
        <v>361</v>
      </c>
      <c r="AB311" s="129" t="s">
        <v>361</v>
      </c>
      <c r="AC311" s="130" t="s">
        <v>361</v>
      </c>
      <c r="AD311" s="131" t="s">
        <v>361</v>
      </c>
      <c r="AE311" s="186"/>
      <c r="AF311" s="188"/>
      <c r="AG311" s="175"/>
      <c r="AH311" s="175"/>
      <c r="AI311" s="175"/>
      <c r="AJ311" s="175"/>
      <c r="AK311" s="176"/>
      <c r="AL311" s="176"/>
      <c r="AM311" s="351"/>
      <c r="AN311" s="351"/>
    </row>
    <row r="312" spans="1:40">
      <c r="A312" s="343"/>
      <c r="B312" s="346"/>
      <c r="C312" s="346"/>
      <c r="D312" s="346"/>
      <c r="E312" s="346"/>
      <c r="F312" s="349"/>
      <c r="G312" s="346"/>
      <c r="H312" s="352"/>
      <c r="I312" s="355"/>
      <c r="J312" s="358"/>
      <c r="K312" s="361"/>
      <c r="L312" s="358">
        <v>0</v>
      </c>
      <c r="M312" s="355"/>
      <c r="N312" s="358"/>
      <c r="O312" s="364"/>
      <c r="P312" s="124">
        <v>6</v>
      </c>
      <c r="Q312" s="178"/>
      <c r="R312" s="125" t="s">
        <v>361</v>
      </c>
      <c r="S312" s="170"/>
      <c r="T312" s="170"/>
      <c r="U312" s="127" t="s">
        <v>361</v>
      </c>
      <c r="V312" s="170"/>
      <c r="W312" s="170"/>
      <c r="X312" s="170"/>
      <c r="Y312" s="128" t="str">
        <f t="shared" si="123"/>
        <v/>
      </c>
      <c r="Z312" s="129" t="s">
        <v>361</v>
      </c>
      <c r="AA312" s="130" t="s">
        <v>361</v>
      </c>
      <c r="AB312" s="129" t="s">
        <v>361</v>
      </c>
      <c r="AC312" s="130" t="s">
        <v>361</v>
      </c>
      <c r="AD312" s="131" t="s">
        <v>361</v>
      </c>
      <c r="AE312" s="186"/>
      <c r="AF312" s="188"/>
      <c r="AG312" s="175"/>
      <c r="AH312" s="175"/>
      <c r="AI312" s="175"/>
      <c r="AJ312" s="175"/>
      <c r="AK312" s="176"/>
      <c r="AL312" s="176"/>
      <c r="AM312" s="352"/>
      <c r="AN312" s="352"/>
    </row>
    <row r="313" spans="1:40" ht="67.5">
      <c r="A313" s="341">
        <v>51</v>
      </c>
      <c r="B313" s="344" t="s">
        <v>222</v>
      </c>
      <c r="C313" s="344" t="s">
        <v>125</v>
      </c>
      <c r="D313" s="344" t="s">
        <v>851</v>
      </c>
      <c r="E313" s="344" t="s">
        <v>852</v>
      </c>
      <c r="F313" s="347" t="s">
        <v>853</v>
      </c>
      <c r="G313" s="344" t="s">
        <v>120</v>
      </c>
      <c r="H313" s="350">
        <v>11000</v>
      </c>
      <c r="I313" s="353" t="s">
        <v>50</v>
      </c>
      <c r="J313" s="356">
        <v>1</v>
      </c>
      <c r="K313" s="359" t="s">
        <v>136</v>
      </c>
      <c r="L313" s="356" t="s">
        <v>136</v>
      </c>
      <c r="M313" s="353" t="s">
        <v>77</v>
      </c>
      <c r="N313" s="356">
        <v>0.6</v>
      </c>
      <c r="O313" s="362" t="s">
        <v>76</v>
      </c>
      <c r="P313" s="124">
        <v>1</v>
      </c>
      <c r="Q313" s="178" t="s">
        <v>854</v>
      </c>
      <c r="R313" s="125" t="s">
        <v>4</v>
      </c>
      <c r="S313" s="170" t="s">
        <v>15</v>
      </c>
      <c r="T313" s="170" t="s">
        <v>9</v>
      </c>
      <c r="U313" s="127" t="s">
        <v>352</v>
      </c>
      <c r="V313" s="170" t="s">
        <v>19</v>
      </c>
      <c r="W313" s="170" t="s">
        <v>22</v>
      </c>
      <c r="X313" s="170" t="s">
        <v>111</v>
      </c>
      <c r="Y313" s="128">
        <f>IFERROR(IF(R313="Probabilidad",(J313-(+J313*U313)),IF(R313="Impacto",J313,"")),"")</f>
        <v>0.7</v>
      </c>
      <c r="Z313" s="129" t="s">
        <v>6</v>
      </c>
      <c r="AA313" s="130">
        <v>0.7</v>
      </c>
      <c r="AB313" s="129" t="s">
        <v>77</v>
      </c>
      <c r="AC313" s="130">
        <v>0.6</v>
      </c>
      <c r="AD313" s="131" t="s">
        <v>76</v>
      </c>
      <c r="AE313" s="186" t="s">
        <v>32</v>
      </c>
      <c r="AF313" s="188" t="s">
        <v>855</v>
      </c>
      <c r="AG313" s="175" t="s">
        <v>856</v>
      </c>
      <c r="AH313" s="175" t="s">
        <v>804</v>
      </c>
      <c r="AI313" s="175" t="s">
        <v>857</v>
      </c>
      <c r="AJ313" s="175" t="s">
        <v>858</v>
      </c>
      <c r="AK313" s="176" t="s">
        <v>807</v>
      </c>
      <c r="AL313" s="176" t="s">
        <v>433</v>
      </c>
      <c r="AM313" s="350" t="s">
        <v>859</v>
      </c>
      <c r="AN313" s="350"/>
    </row>
    <row r="314" spans="1:40" ht="67.5" customHeight="1">
      <c r="A314" s="342"/>
      <c r="B314" s="345"/>
      <c r="C314" s="345"/>
      <c r="D314" s="345"/>
      <c r="E314" s="345"/>
      <c r="F314" s="348"/>
      <c r="G314" s="345"/>
      <c r="H314" s="351"/>
      <c r="I314" s="354"/>
      <c r="J314" s="357"/>
      <c r="K314" s="360"/>
      <c r="L314" s="357">
        <v>0</v>
      </c>
      <c r="M314" s="354"/>
      <c r="N314" s="357"/>
      <c r="O314" s="363"/>
      <c r="P314" s="124">
        <v>2</v>
      </c>
      <c r="Q314" s="178" t="s">
        <v>860</v>
      </c>
      <c r="R314" s="125" t="s">
        <v>4</v>
      </c>
      <c r="S314" s="170" t="s">
        <v>14</v>
      </c>
      <c r="T314" s="170" t="s">
        <v>10</v>
      </c>
      <c r="U314" s="127" t="s">
        <v>812</v>
      </c>
      <c r="V314" s="170" t="s">
        <v>19</v>
      </c>
      <c r="W314" s="170" t="s">
        <v>22</v>
      </c>
      <c r="X314" s="170" t="s">
        <v>111</v>
      </c>
      <c r="Y314" s="128">
        <f>IFERROR(IF(AND(R313="Probabilidad",R314="Probabilidad"),(AA313-(+AA313*U314)),IF(R314="Probabilidad",(J313-(+J313*U314)),IF(R314="Impacto",AA313,""))),"")</f>
        <v>0.35</v>
      </c>
      <c r="Z314" s="129" t="s">
        <v>49</v>
      </c>
      <c r="AA314" s="130">
        <v>0.35</v>
      </c>
      <c r="AB314" s="129" t="s">
        <v>77</v>
      </c>
      <c r="AC314" s="130">
        <v>0.6</v>
      </c>
      <c r="AD314" s="131" t="s">
        <v>77</v>
      </c>
      <c r="AE314" s="186" t="s">
        <v>257</v>
      </c>
      <c r="AF314" s="188" t="s">
        <v>861</v>
      </c>
      <c r="AG314" s="175" t="s">
        <v>856</v>
      </c>
      <c r="AH314" s="175" t="s">
        <v>804</v>
      </c>
      <c r="AI314" s="175" t="s">
        <v>857</v>
      </c>
      <c r="AJ314" s="175" t="s">
        <v>858</v>
      </c>
      <c r="AK314" s="176" t="s">
        <v>807</v>
      </c>
      <c r="AL314" s="176" t="s">
        <v>433</v>
      </c>
      <c r="AM314" s="351"/>
      <c r="AN314" s="351"/>
    </row>
    <row r="315" spans="1:40" ht="48">
      <c r="A315" s="342"/>
      <c r="B315" s="345"/>
      <c r="C315" s="345"/>
      <c r="D315" s="345"/>
      <c r="E315" s="345"/>
      <c r="F315" s="348"/>
      <c r="G315" s="345"/>
      <c r="H315" s="351"/>
      <c r="I315" s="354"/>
      <c r="J315" s="357"/>
      <c r="K315" s="360"/>
      <c r="L315" s="357">
        <v>0</v>
      </c>
      <c r="M315" s="354"/>
      <c r="N315" s="357"/>
      <c r="O315" s="363"/>
      <c r="P315" s="124">
        <v>3</v>
      </c>
      <c r="Q315" s="178" t="s">
        <v>862</v>
      </c>
      <c r="R315" s="125" t="s">
        <v>2</v>
      </c>
      <c r="S315" s="170" t="s">
        <v>16</v>
      </c>
      <c r="T315" s="170" t="s">
        <v>9</v>
      </c>
      <c r="U315" s="127" t="s">
        <v>359</v>
      </c>
      <c r="V315" s="170" t="s">
        <v>19</v>
      </c>
      <c r="W315" s="170" t="s">
        <v>22</v>
      </c>
      <c r="X315" s="170" t="s">
        <v>111</v>
      </c>
      <c r="Y315" s="128">
        <f>IFERROR(IF(AND(R314="Probabilidad",R315="Probabilidad"),(AA314-(+AA314*U315)),IF(AND(R314="Impacto",R315="Probabilidad"),(AA313-(+AA313*U315)),IF(R315="Impacto",AA314,""))),"")</f>
        <v>0.35</v>
      </c>
      <c r="Z315" s="129" t="s">
        <v>49</v>
      </c>
      <c r="AA315" s="130">
        <v>0.35</v>
      </c>
      <c r="AB315" s="129" t="s">
        <v>77</v>
      </c>
      <c r="AC315" s="130">
        <v>0.44999999999999996</v>
      </c>
      <c r="AD315" s="131" t="s">
        <v>77</v>
      </c>
      <c r="AE315" s="186" t="s">
        <v>256</v>
      </c>
      <c r="AF315" s="188" t="s">
        <v>863</v>
      </c>
      <c r="AG315" s="175" t="s">
        <v>856</v>
      </c>
      <c r="AH315" s="175" t="s">
        <v>804</v>
      </c>
      <c r="AI315" s="175" t="s">
        <v>857</v>
      </c>
      <c r="AJ315" s="175" t="s">
        <v>858</v>
      </c>
      <c r="AK315" s="176" t="s">
        <v>807</v>
      </c>
      <c r="AL315" s="176" t="s">
        <v>433</v>
      </c>
      <c r="AM315" s="351"/>
      <c r="AN315" s="351"/>
    </row>
    <row r="316" spans="1:40" ht="54">
      <c r="A316" s="342"/>
      <c r="B316" s="345"/>
      <c r="C316" s="345"/>
      <c r="D316" s="345"/>
      <c r="E316" s="345"/>
      <c r="F316" s="348"/>
      <c r="G316" s="345"/>
      <c r="H316" s="351"/>
      <c r="I316" s="354"/>
      <c r="J316" s="357"/>
      <c r="K316" s="360"/>
      <c r="L316" s="357">
        <v>0</v>
      </c>
      <c r="M316" s="354"/>
      <c r="N316" s="357"/>
      <c r="O316" s="363"/>
      <c r="P316" s="124">
        <v>4</v>
      </c>
      <c r="Q316" s="178" t="s">
        <v>864</v>
      </c>
      <c r="R316" s="125" t="s">
        <v>4</v>
      </c>
      <c r="S316" s="170" t="s">
        <v>14</v>
      </c>
      <c r="T316" s="170" t="s">
        <v>10</v>
      </c>
      <c r="U316" s="127" t="s">
        <v>812</v>
      </c>
      <c r="V316" s="170" t="s">
        <v>19</v>
      </c>
      <c r="W316" s="170" t="s">
        <v>22</v>
      </c>
      <c r="X316" s="170" t="s">
        <v>111</v>
      </c>
      <c r="Y316" s="128">
        <f t="shared" ref="Y316:Y318" si="124">IFERROR(IF(AND(R315="Probabilidad",R316="Probabilidad"),(AA315-(+AA315*U316)),IF(AND(R315="Impacto",R316="Probabilidad"),(AA314-(+AA314*U316)),IF(R316="Impacto",AA315,""))),"")</f>
        <v>0.17499999999999999</v>
      </c>
      <c r="Z316" s="129" t="s">
        <v>47</v>
      </c>
      <c r="AA316" s="130">
        <v>0.17499999999999999</v>
      </c>
      <c r="AB316" s="129" t="s">
        <v>77</v>
      </c>
      <c r="AC316" s="130">
        <v>0.44999999999999996</v>
      </c>
      <c r="AD316" s="131" t="s">
        <v>77</v>
      </c>
      <c r="AE316" s="186" t="s">
        <v>32</v>
      </c>
      <c r="AF316" s="188" t="s">
        <v>865</v>
      </c>
      <c r="AG316" s="175" t="s">
        <v>856</v>
      </c>
      <c r="AH316" s="175" t="s">
        <v>804</v>
      </c>
      <c r="AI316" s="175" t="s">
        <v>857</v>
      </c>
      <c r="AJ316" s="175" t="s">
        <v>858</v>
      </c>
      <c r="AK316" s="176" t="s">
        <v>807</v>
      </c>
      <c r="AL316" s="176" t="s">
        <v>433</v>
      </c>
      <c r="AM316" s="351"/>
      <c r="AN316" s="351"/>
    </row>
    <row r="317" spans="1:40">
      <c r="A317" s="342"/>
      <c r="B317" s="345"/>
      <c r="C317" s="345"/>
      <c r="D317" s="345"/>
      <c r="E317" s="345"/>
      <c r="F317" s="348"/>
      <c r="G317" s="345"/>
      <c r="H317" s="351"/>
      <c r="I317" s="354"/>
      <c r="J317" s="357"/>
      <c r="K317" s="360"/>
      <c r="L317" s="357">
        <v>0</v>
      </c>
      <c r="M317" s="354"/>
      <c r="N317" s="357"/>
      <c r="O317" s="363"/>
      <c r="P317" s="124">
        <v>5</v>
      </c>
      <c r="Q317" s="178"/>
      <c r="R317" s="125" t="s">
        <v>361</v>
      </c>
      <c r="S317" s="170"/>
      <c r="T317" s="170"/>
      <c r="U317" s="127" t="s">
        <v>361</v>
      </c>
      <c r="V317" s="170"/>
      <c r="W317" s="170"/>
      <c r="X317" s="170"/>
      <c r="Y317" s="128" t="str">
        <f t="shared" si="124"/>
        <v/>
      </c>
      <c r="Z317" s="129" t="s">
        <v>361</v>
      </c>
      <c r="AA317" s="130" t="s">
        <v>361</v>
      </c>
      <c r="AB317" s="129" t="s">
        <v>361</v>
      </c>
      <c r="AC317" s="130" t="s">
        <v>361</v>
      </c>
      <c r="AD317" s="131" t="s">
        <v>361</v>
      </c>
      <c r="AE317" s="186"/>
      <c r="AF317" s="188"/>
      <c r="AG317" s="175"/>
      <c r="AH317" s="175"/>
      <c r="AI317" s="175"/>
      <c r="AJ317" s="175"/>
      <c r="AK317" s="176"/>
      <c r="AL317" s="176"/>
      <c r="AM317" s="351"/>
      <c r="AN317" s="351"/>
    </row>
    <row r="318" spans="1:40">
      <c r="A318" s="343"/>
      <c r="B318" s="346"/>
      <c r="C318" s="346"/>
      <c r="D318" s="346"/>
      <c r="E318" s="346"/>
      <c r="F318" s="349"/>
      <c r="G318" s="346"/>
      <c r="H318" s="352"/>
      <c r="I318" s="355"/>
      <c r="J318" s="358"/>
      <c r="K318" s="361"/>
      <c r="L318" s="358">
        <v>0</v>
      </c>
      <c r="M318" s="355"/>
      <c r="N318" s="358"/>
      <c r="O318" s="364"/>
      <c r="P318" s="124">
        <v>6</v>
      </c>
      <c r="Q318" s="178"/>
      <c r="R318" s="125" t="s">
        <v>361</v>
      </c>
      <c r="S318" s="170"/>
      <c r="T318" s="170"/>
      <c r="U318" s="127" t="s">
        <v>361</v>
      </c>
      <c r="V318" s="170"/>
      <c r="W318" s="170"/>
      <c r="X318" s="170"/>
      <c r="Y318" s="128" t="str">
        <f t="shared" si="124"/>
        <v/>
      </c>
      <c r="Z318" s="129" t="s">
        <v>361</v>
      </c>
      <c r="AA318" s="130" t="s">
        <v>361</v>
      </c>
      <c r="AB318" s="129" t="s">
        <v>361</v>
      </c>
      <c r="AC318" s="130" t="s">
        <v>361</v>
      </c>
      <c r="AD318" s="131" t="s">
        <v>361</v>
      </c>
      <c r="AE318" s="186"/>
      <c r="AF318" s="188"/>
      <c r="AG318" s="175"/>
      <c r="AH318" s="175"/>
      <c r="AI318" s="175"/>
      <c r="AJ318" s="175"/>
      <c r="AK318" s="176"/>
      <c r="AL318" s="176"/>
      <c r="AM318" s="352"/>
      <c r="AN318" s="352"/>
    </row>
    <row r="319" spans="1:40" ht="67.5">
      <c r="A319" s="341">
        <v>52</v>
      </c>
      <c r="B319" s="344" t="s">
        <v>226</v>
      </c>
      <c r="C319" s="344" t="s">
        <v>125</v>
      </c>
      <c r="D319" s="344" t="s">
        <v>866</v>
      </c>
      <c r="E319" s="344" t="s">
        <v>867</v>
      </c>
      <c r="F319" s="347" t="s">
        <v>868</v>
      </c>
      <c r="G319" s="344" t="s">
        <v>115</v>
      </c>
      <c r="H319" s="350">
        <v>45</v>
      </c>
      <c r="I319" s="353" t="s">
        <v>99</v>
      </c>
      <c r="J319" s="356">
        <v>0.6</v>
      </c>
      <c r="K319" s="359" t="s">
        <v>140</v>
      </c>
      <c r="L319" s="356" t="s">
        <v>140</v>
      </c>
      <c r="M319" s="353" t="s">
        <v>800</v>
      </c>
      <c r="N319" s="356">
        <v>0.2</v>
      </c>
      <c r="O319" s="362" t="s">
        <v>77</v>
      </c>
      <c r="P319" s="124">
        <v>1</v>
      </c>
      <c r="Q319" s="178" t="s">
        <v>869</v>
      </c>
      <c r="R319" s="125" t="s">
        <v>4</v>
      </c>
      <c r="S319" s="171" t="s">
        <v>14</v>
      </c>
      <c r="T319" s="171" t="s">
        <v>9</v>
      </c>
      <c r="U319" s="127" t="s">
        <v>346</v>
      </c>
      <c r="V319" s="171" t="s">
        <v>19</v>
      </c>
      <c r="W319" s="171" t="s">
        <v>22</v>
      </c>
      <c r="X319" s="171" t="s">
        <v>111</v>
      </c>
      <c r="Y319" s="128">
        <f>IFERROR(IF(R319="Probabilidad",(J319-(+J319*U319)),IF(R319="Impacto",J319,"")),"")</f>
        <v>0.36</v>
      </c>
      <c r="Z319" s="129" t="s">
        <v>49</v>
      </c>
      <c r="AA319" s="130">
        <v>0.36</v>
      </c>
      <c r="AB319" s="129" t="s">
        <v>800</v>
      </c>
      <c r="AC319" s="130">
        <v>0.2</v>
      </c>
      <c r="AD319" s="131" t="s">
        <v>78</v>
      </c>
      <c r="AE319" s="186" t="s">
        <v>257</v>
      </c>
      <c r="AF319" s="188" t="s">
        <v>870</v>
      </c>
      <c r="AG319" s="175" t="s">
        <v>871</v>
      </c>
      <c r="AH319" s="175" t="s">
        <v>872</v>
      </c>
      <c r="AI319" s="175" t="s">
        <v>873</v>
      </c>
      <c r="AJ319" s="175" t="s">
        <v>871</v>
      </c>
      <c r="AK319" s="176">
        <v>44678</v>
      </c>
      <c r="AL319" s="176">
        <v>44926</v>
      </c>
      <c r="AM319" s="350">
        <v>4049</v>
      </c>
      <c r="AN319" s="350"/>
    </row>
    <row r="320" spans="1:40">
      <c r="A320" s="342"/>
      <c r="B320" s="345"/>
      <c r="C320" s="345"/>
      <c r="D320" s="345"/>
      <c r="E320" s="345"/>
      <c r="F320" s="348"/>
      <c r="G320" s="345"/>
      <c r="H320" s="351"/>
      <c r="I320" s="354"/>
      <c r="J320" s="357"/>
      <c r="K320" s="360"/>
      <c r="L320" s="357">
        <v>0</v>
      </c>
      <c r="M320" s="354"/>
      <c r="N320" s="357"/>
      <c r="O320" s="363"/>
      <c r="P320" s="124">
        <v>2</v>
      </c>
      <c r="Q320" s="178"/>
      <c r="R320" s="125" t="s">
        <v>361</v>
      </c>
      <c r="S320" s="170"/>
      <c r="T320" s="170"/>
      <c r="U320" s="127" t="s">
        <v>361</v>
      </c>
      <c r="V320" s="170"/>
      <c r="W320" s="170"/>
      <c r="X320" s="170"/>
      <c r="Y320" s="128" t="str">
        <f>IFERROR(IF(AND(R319="Probabilidad",R320="Probabilidad"),(AA319-(+AA319*U320)),IF(R320="Probabilidad",(J319-(+J319*U320)),IF(R320="Impacto",AA319,""))),"")</f>
        <v/>
      </c>
      <c r="Z320" s="129" t="s">
        <v>361</v>
      </c>
      <c r="AA320" s="130" t="s">
        <v>361</v>
      </c>
      <c r="AB320" s="129" t="s">
        <v>361</v>
      </c>
      <c r="AC320" s="130" t="s">
        <v>361</v>
      </c>
      <c r="AD320" s="131" t="s">
        <v>361</v>
      </c>
      <c r="AE320" s="186"/>
      <c r="AF320" s="188"/>
      <c r="AG320" s="175"/>
      <c r="AH320" s="175"/>
      <c r="AI320" s="175"/>
      <c r="AJ320" s="175"/>
      <c r="AK320" s="176"/>
      <c r="AL320" s="176"/>
      <c r="AM320" s="351"/>
      <c r="AN320" s="351"/>
    </row>
    <row r="321" spans="1:40">
      <c r="A321" s="342"/>
      <c r="B321" s="345"/>
      <c r="C321" s="345"/>
      <c r="D321" s="345"/>
      <c r="E321" s="345"/>
      <c r="F321" s="348"/>
      <c r="G321" s="345"/>
      <c r="H321" s="351"/>
      <c r="I321" s="354"/>
      <c r="J321" s="357"/>
      <c r="K321" s="360"/>
      <c r="L321" s="357">
        <v>0</v>
      </c>
      <c r="M321" s="354"/>
      <c r="N321" s="357"/>
      <c r="O321" s="363"/>
      <c r="P321" s="124">
        <v>3</v>
      </c>
      <c r="Q321" s="178"/>
      <c r="R321" s="125" t="s">
        <v>361</v>
      </c>
      <c r="S321" s="170"/>
      <c r="T321" s="170"/>
      <c r="U321" s="127" t="s">
        <v>361</v>
      </c>
      <c r="V321" s="170"/>
      <c r="W321" s="170"/>
      <c r="X321" s="170"/>
      <c r="Y321" s="128" t="str">
        <f>IFERROR(IF(AND(R320="Probabilidad",R321="Probabilidad"),(AA320-(+AA320*U321)),IF(AND(R320="Impacto",R321="Probabilidad"),(AA319-(+AA319*U321)),IF(R321="Impacto",AA320,""))),"")</f>
        <v/>
      </c>
      <c r="Z321" s="129" t="s">
        <v>361</v>
      </c>
      <c r="AA321" s="130" t="s">
        <v>361</v>
      </c>
      <c r="AB321" s="129" t="s">
        <v>361</v>
      </c>
      <c r="AC321" s="130" t="s">
        <v>361</v>
      </c>
      <c r="AD321" s="131" t="s">
        <v>361</v>
      </c>
      <c r="AE321" s="186"/>
      <c r="AF321" s="188"/>
      <c r="AG321" s="175"/>
      <c r="AH321" s="175"/>
      <c r="AI321" s="175"/>
      <c r="AJ321" s="175"/>
      <c r="AK321" s="176"/>
      <c r="AL321" s="176"/>
      <c r="AM321" s="351"/>
      <c r="AN321" s="351"/>
    </row>
    <row r="322" spans="1:40">
      <c r="A322" s="342"/>
      <c r="B322" s="345"/>
      <c r="C322" s="345"/>
      <c r="D322" s="345"/>
      <c r="E322" s="345"/>
      <c r="F322" s="348"/>
      <c r="G322" s="345"/>
      <c r="H322" s="351"/>
      <c r="I322" s="354"/>
      <c r="J322" s="357"/>
      <c r="K322" s="360"/>
      <c r="L322" s="357">
        <v>0</v>
      </c>
      <c r="M322" s="354"/>
      <c r="N322" s="357"/>
      <c r="O322" s="363"/>
      <c r="P322" s="124">
        <v>4</v>
      </c>
      <c r="Q322" s="178"/>
      <c r="R322" s="125" t="s">
        <v>361</v>
      </c>
      <c r="S322" s="170"/>
      <c r="T322" s="170"/>
      <c r="U322" s="127"/>
      <c r="V322" s="170"/>
      <c r="W322" s="170"/>
      <c r="X322" s="170"/>
      <c r="Y322" s="128" t="str">
        <f t="shared" ref="Y322:Y324" si="125">IFERROR(IF(AND(R321="Probabilidad",R322="Probabilidad"),(AA321-(+AA321*U322)),IF(AND(R321="Impacto",R322="Probabilidad"),(AA320-(+AA320*U322)),IF(R322="Impacto",AA321,""))),"")</f>
        <v/>
      </c>
      <c r="Z322" s="129" t="s">
        <v>361</v>
      </c>
      <c r="AA322" s="130" t="s">
        <v>361</v>
      </c>
      <c r="AB322" s="129" t="s">
        <v>361</v>
      </c>
      <c r="AC322" s="130" t="s">
        <v>361</v>
      </c>
      <c r="AD322" s="131" t="s">
        <v>361</v>
      </c>
      <c r="AE322" s="186"/>
      <c r="AF322" s="188"/>
      <c r="AG322" s="175"/>
      <c r="AH322" s="175"/>
      <c r="AI322" s="175"/>
      <c r="AJ322" s="175"/>
      <c r="AK322" s="176"/>
      <c r="AL322" s="176"/>
      <c r="AM322" s="351"/>
      <c r="AN322" s="351"/>
    </row>
    <row r="323" spans="1:40">
      <c r="A323" s="342"/>
      <c r="B323" s="345"/>
      <c r="C323" s="345"/>
      <c r="D323" s="345"/>
      <c r="E323" s="345"/>
      <c r="F323" s="348"/>
      <c r="G323" s="345"/>
      <c r="H323" s="351"/>
      <c r="I323" s="354"/>
      <c r="J323" s="357"/>
      <c r="K323" s="360"/>
      <c r="L323" s="357">
        <v>0</v>
      </c>
      <c r="M323" s="354"/>
      <c r="N323" s="357"/>
      <c r="O323" s="363"/>
      <c r="P323" s="124">
        <v>5</v>
      </c>
      <c r="Q323" s="178"/>
      <c r="R323" s="125" t="s">
        <v>361</v>
      </c>
      <c r="S323" s="170"/>
      <c r="T323" s="170"/>
      <c r="U323" s="127"/>
      <c r="V323" s="170"/>
      <c r="W323" s="170"/>
      <c r="X323" s="170"/>
      <c r="Y323" s="128" t="str">
        <f t="shared" si="125"/>
        <v/>
      </c>
      <c r="Z323" s="129" t="s">
        <v>361</v>
      </c>
      <c r="AA323" s="130" t="s">
        <v>361</v>
      </c>
      <c r="AB323" s="129" t="s">
        <v>361</v>
      </c>
      <c r="AC323" s="130" t="s">
        <v>361</v>
      </c>
      <c r="AD323" s="131" t="s">
        <v>361</v>
      </c>
      <c r="AE323" s="186"/>
      <c r="AF323" s="188"/>
      <c r="AG323" s="175"/>
      <c r="AH323" s="175"/>
      <c r="AI323" s="175"/>
      <c r="AJ323" s="175"/>
      <c r="AK323" s="176"/>
      <c r="AL323" s="176"/>
      <c r="AM323" s="351"/>
      <c r="AN323" s="351"/>
    </row>
    <row r="324" spans="1:40">
      <c r="A324" s="343"/>
      <c r="B324" s="346"/>
      <c r="C324" s="346"/>
      <c r="D324" s="346"/>
      <c r="E324" s="346"/>
      <c r="F324" s="349"/>
      <c r="G324" s="346"/>
      <c r="H324" s="352"/>
      <c r="I324" s="355"/>
      <c r="J324" s="358"/>
      <c r="K324" s="361"/>
      <c r="L324" s="358">
        <v>0</v>
      </c>
      <c r="M324" s="355"/>
      <c r="N324" s="358"/>
      <c r="O324" s="364"/>
      <c r="P324" s="124">
        <v>6</v>
      </c>
      <c r="Q324" s="178"/>
      <c r="R324" s="125" t="s">
        <v>361</v>
      </c>
      <c r="S324" s="170"/>
      <c r="T324" s="170"/>
      <c r="U324" s="127"/>
      <c r="V324" s="170"/>
      <c r="W324" s="170"/>
      <c r="X324" s="170"/>
      <c r="Y324" s="128" t="str">
        <f t="shared" si="125"/>
        <v/>
      </c>
      <c r="Z324" s="129" t="s">
        <v>361</v>
      </c>
      <c r="AA324" s="130" t="s">
        <v>361</v>
      </c>
      <c r="AB324" s="129" t="s">
        <v>361</v>
      </c>
      <c r="AC324" s="130" t="s">
        <v>361</v>
      </c>
      <c r="AD324" s="131" t="s">
        <v>361</v>
      </c>
      <c r="AE324" s="186"/>
      <c r="AF324" s="188"/>
      <c r="AG324" s="175"/>
      <c r="AH324" s="175"/>
      <c r="AI324" s="175"/>
      <c r="AJ324" s="175"/>
      <c r="AK324" s="176"/>
      <c r="AL324" s="176"/>
      <c r="AM324" s="352"/>
      <c r="AN324" s="352"/>
    </row>
    <row r="325" spans="1:40" ht="94.5">
      <c r="A325" s="341">
        <v>53</v>
      </c>
      <c r="B325" s="344" t="s">
        <v>226</v>
      </c>
      <c r="C325" s="344" t="s">
        <v>123</v>
      </c>
      <c r="D325" s="344" t="s">
        <v>874</v>
      </c>
      <c r="E325" s="344" t="s">
        <v>875</v>
      </c>
      <c r="F325" s="347" t="s">
        <v>876</v>
      </c>
      <c r="G325" s="344" t="s">
        <v>115</v>
      </c>
      <c r="H325" s="350">
        <v>35</v>
      </c>
      <c r="I325" s="353" t="s">
        <v>99</v>
      </c>
      <c r="J325" s="356">
        <v>0.6</v>
      </c>
      <c r="K325" s="359" t="s">
        <v>140</v>
      </c>
      <c r="L325" s="356" t="s">
        <v>140</v>
      </c>
      <c r="M325" s="353" t="s">
        <v>800</v>
      </c>
      <c r="N325" s="356">
        <v>0.2</v>
      </c>
      <c r="O325" s="362" t="s">
        <v>77</v>
      </c>
      <c r="P325" s="124">
        <v>1</v>
      </c>
      <c r="Q325" s="178" t="s">
        <v>877</v>
      </c>
      <c r="R325" s="125" t="s">
        <v>4</v>
      </c>
      <c r="S325" s="170" t="s">
        <v>14</v>
      </c>
      <c r="T325" s="170" t="s">
        <v>9</v>
      </c>
      <c r="U325" s="127" t="s">
        <v>346</v>
      </c>
      <c r="V325" s="170" t="s">
        <v>19</v>
      </c>
      <c r="W325" s="170" t="s">
        <v>22</v>
      </c>
      <c r="X325" s="170" t="s">
        <v>111</v>
      </c>
      <c r="Y325" s="128">
        <f>IFERROR(IF(R325="Probabilidad",(J325-(+J325*U325)),IF(R325="Impacto",J325,"")),"")</f>
        <v>0.36</v>
      </c>
      <c r="Z325" s="129" t="s">
        <v>49</v>
      </c>
      <c r="AA325" s="130">
        <v>0.36</v>
      </c>
      <c r="AB325" s="129" t="s">
        <v>800</v>
      </c>
      <c r="AC325" s="130">
        <v>0.2</v>
      </c>
      <c r="AD325" s="131" t="s">
        <v>78</v>
      </c>
      <c r="AE325" s="186" t="s">
        <v>257</v>
      </c>
      <c r="AF325" s="188" t="s">
        <v>878</v>
      </c>
      <c r="AG325" s="175" t="s">
        <v>879</v>
      </c>
      <c r="AH325" s="175" t="s">
        <v>872</v>
      </c>
      <c r="AI325" s="175" t="s">
        <v>880</v>
      </c>
      <c r="AJ325" s="175" t="s">
        <v>881</v>
      </c>
      <c r="AK325" s="176">
        <v>44678</v>
      </c>
      <c r="AL325" s="176">
        <v>44926</v>
      </c>
      <c r="AM325" s="350">
        <v>4050</v>
      </c>
      <c r="AN325" s="350"/>
    </row>
    <row r="326" spans="1:40" ht="108">
      <c r="A326" s="342"/>
      <c r="B326" s="345"/>
      <c r="C326" s="345"/>
      <c r="D326" s="345"/>
      <c r="E326" s="345"/>
      <c r="F326" s="348"/>
      <c r="G326" s="345"/>
      <c r="H326" s="351"/>
      <c r="I326" s="354"/>
      <c r="J326" s="357"/>
      <c r="K326" s="360"/>
      <c r="L326" s="357">
        <v>0</v>
      </c>
      <c r="M326" s="354"/>
      <c r="N326" s="357"/>
      <c r="O326" s="363"/>
      <c r="P326" s="124">
        <v>2</v>
      </c>
      <c r="Q326" s="178" t="s">
        <v>882</v>
      </c>
      <c r="R326" s="125" t="s">
        <v>4</v>
      </c>
      <c r="S326" s="170" t="s">
        <v>14</v>
      </c>
      <c r="T326" s="170" t="s">
        <v>9</v>
      </c>
      <c r="U326" s="127" t="s">
        <v>346</v>
      </c>
      <c r="V326" s="170" t="s">
        <v>19</v>
      </c>
      <c r="W326" s="170" t="s">
        <v>22</v>
      </c>
      <c r="X326" s="170" t="s">
        <v>111</v>
      </c>
      <c r="Y326" s="128">
        <f>IFERROR(IF(AND(R325="Probabilidad",R326="Probabilidad"),(AA325-(+AA325*U326)),IF(R326="Probabilidad",(J325-(+J325*U326)),IF(R326="Impacto",AA325,""))),"")</f>
        <v>0.216</v>
      </c>
      <c r="Z326" s="129" t="s">
        <v>49</v>
      </c>
      <c r="AA326" s="130">
        <v>0.216</v>
      </c>
      <c r="AB326" s="129" t="s">
        <v>800</v>
      </c>
      <c r="AC326" s="130">
        <v>0.2</v>
      </c>
      <c r="AD326" s="131" t="s">
        <v>78</v>
      </c>
      <c r="AE326" s="186" t="s">
        <v>257</v>
      </c>
      <c r="AF326" s="188" t="s">
        <v>883</v>
      </c>
      <c r="AG326" s="175" t="s">
        <v>879</v>
      </c>
      <c r="AH326" s="175" t="s">
        <v>872</v>
      </c>
      <c r="AI326" s="175" t="s">
        <v>880</v>
      </c>
      <c r="AJ326" s="175" t="s">
        <v>881</v>
      </c>
      <c r="AK326" s="176">
        <v>44678</v>
      </c>
      <c r="AL326" s="176">
        <v>44926</v>
      </c>
      <c r="AM326" s="351"/>
      <c r="AN326" s="351"/>
    </row>
    <row r="327" spans="1:40">
      <c r="A327" s="342"/>
      <c r="B327" s="345"/>
      <c r="C327" s="345"/>
      <c r="D327" s="345"/>
      <c r="E327" s="345"/>
      <c r="F327" s="348"/>
      <c r="G327" s="345"/>
      <c r="H327" s="351"/>
      <c r="I327" s="354"/>
      <c r="J327" s="357"/>
      <c r="K327" s="360"/>
      <c r="L327" s="357">
        <v>0</v>
      </c>
      <c r="M327" s="354"/>
      <c r="N327" s="357"/>
      <c r="O327" s="363"/>
      <c r="P327" s="124">
        <v>3</v>
      </c>
      <c r="Q327" s="179"/>
      <c r="R327" s="125" t="s">
        <v>361</v>
      </c>
      <c r="S327" s="170"/>
      <c r="T327" s="170"/>
      <c r="U327" s="127" t="s">
        <v>361</v>
      </c>
      <c r="V327" s="170"/>
      <c r="W327" s="170"/>
      <c r="X327" s="170"/>
      <c r="Y327" s="128" t="str">
        <f>IFERROR(IF(AND(R326="Probabilidad",R327="Probabilidad"),(AA326-(+AA326*U327)),IF(AND(R326="Impacto",R327="Probabilidad"),(AA325-(+AA325*U327)),IF(R327="Impacto",AA326,""))),"")</f>
        <v/>
      </c>
      <c r="Z327" s="129" t="s">
        <v>361</v>
      </c>
      <c r="AA327" s="130" t="s">
        <v>361</v>
      </c>
      <c r="AB327" s="129" t="s">
        <v>361</v>
      </c>
      <c r="AC327" s="130" t="s">
        <v>361</v>
      </c>
      <c r="AD327" s="131" t="s">
        <v>361</v>
      </c>
      <c r="AE327" s="186"/>
      <c r="AF327" s="188"/>
      <c r="AG327" s="175"/>
      <c r="AH327" s="175"/>
      <c r="AI327" s="175"/>
      <c r="AJ327" s="175"/>
      <c r="AK327" s="176"/>
      <c r="AL327" s="176"/>
      <c r="AM327" s="351"/>
      <c r="AN327" s="351"/>
    </row>
    <row r="328" spans="1:40">
      <c r="A328" s="342"/>
      <c r="B328" s="345"/>
      <c r="C328" s="345"/>
      <c r="D328" s="345"/>
      <c r="E328" s="345"/>
      <c r="F328" s="348"/>
      <c r="G328" s="345"/>
      <c r="H328" s="351"/>
      <c r="I328" s="354"/>
      <c r="J328" s="357"/>
      <c r="K328" s="360"/>
      <c r="L328" s="357">
        <v>0</v>
      </c>
      <c r="M328" s="354"/>
      <c r="N328" s="357"/>
      <c r="O328" s="363"/>
      <c r="P328" s="124">
        <v>4</v>
      </c>
      <c r="Q328" s="178"/>
      <c r="R328" s="125" t="s">
        <v>361</v>
      </c>
      <c r="S328" s="170"/>
      <c r="T328" s="170"/>
      <c r="U328" s="127" t="s">
        <v>361</v>
      </c>
      <c r="V328" s="170"/>
      <c r="W328" s="170"/>
      <c r="X328" s="170"/>
      <c r="Y328" s="128" t="str">
        <f t="shared" ref="Y328:Y330" si="126">IFERROR(IF(AND(R327="Probabilidad",R328="Probabilidad"),(AA327-(+AA327*U328)),IF(AND(R327="Impacto",R328="Probabilidad"),(AA326-(+AA326*U328)),IF(R328="Impacto",AA327,""))),"")</f>
        <v/>
      </c>
      <c r="Z328" s="129" t="s">
        <v>361</v>
      </c>
      <c r="AA328" s="130" t="s">
        <v>361</v>
      </c>
      <c r="AB328" s="129" t="s">
        <v>361</v>
      </c>
      <c r="AC328" s="130" t="s">
        <v>361</v>
      </c>
      <c r="AD328" s="131" t="s">
        <v>361</v>
      </c>
      <c r="AE328" s="186"/>
      <c r="AF328" s="188"/>
      <c r="AG328" s="175"/>
      <c r="AH328" s="175"/>
      <c r="AI328" s="175"/>
      <c r="AJ328" s="175"/>
      <c r="AK328" s="176"/>
      <c r="AL328" s="176"/>
      <c r="AM328" s="351"/>
      <c r="AN328" s="351"/>
    </row>
    <row r="329" spans="1:40">
      <c r="A329" s="342"/>
      <c r="B329" s="345"/>
      <c r="C329" s="345"/>
      <c r="D329" s="345"/>
      <c r="E329" s="345"/>
      <c r="F329" s="348"/>
      <c r="G329" s="345"/>
      <c r="H329" s="351"/>
      <c r="I329" s="354"/>
      <c r="J329" s="357"/>
      <c r="K329" s="360"/>
      <c r="L329" s="357">
        <v>0</v>
      </c>
      <c r="M329" s="354"/>
      <c r="N329" s="357"/>
      <c r="O329" s="363"/>
      <c r="P329" s="124">
        <v>5</v>
      </c>
      <c r="Q329" s="178"/>
      <c r="R329" s="125" t="s">
        <v>361</v>
      </c>
      <c r="S329" s="170"/>
      <c r="T329" s="170"/>
      <c r="U329" s="127" t="s">
        <v>361</v>
      </c>
      <c r="V329" s="170"/>
      <c r="W329" s="170"/>
      <c r="X329" s="170"/>
      <c r="Y329" s="128" t="str">
        <f t="shared" si="126"/>
        <v/>
      </c>
      <c r="Z329" s="129" t="s">
        <v>361</v>
      </c>
      <c r="AA329" s="130" t="s">
        <v>361</v>
      </c>
      <c r="AB329" s="129" t="s">
        <v>361</v>
      </c>
      <c r="AC329" s="130" t="s">
        <v>361</v>
      </c>
      <c r="AD329" s="131" t="s">
        <v>361</v>
      </c>
      <c r="AE329" s="186"/>
      <c r="AF329" s="188"/>
      <c r="AG329" s="175"/>
      <c r="AH329" s="175"/>
      <c r="AI329" s="175"/>
      <c r="AJ329" s="175"/>
      <c r="AK329" s="176"/>
      <c r="AL329" s="176"/>
      <c r="AM329" s="351"/>
      <c r="AN329" s="351"/>
    </row>
    <row r="330" spans="1:40">
      <c r="A330" s="343"/>
      <c r="B330" s="346"/>
      <c r="C330" s="346"/>
      <c r="D330" s="346"/>
      <c r="E330" s="346"/>
      <c r="F330" s="349"/>
      <c r="G330" s="346"/>
      <c r="H330" s="352"/>
      <c r="I330" s="355"/>
      <c r="J330" s="358"/>
      <c r="K330" s="361"/>
      <c r="L330" s="358">
        <v>0</v>
      </c>
      <c r="M330" s="355"/>
      <c r="N330" s="358"/>
      <c r="O330" s="364"/>
      <c r="P330" s="124">
        <v>6</v>
      </c>
      <c r="Q330" s="178"/>
      <c r="R330" s="125" t="s">
        <v>361</v>
      </c>
      <c r="S330" s="170"/>
      <c r="T330" s="170"/>
      <c r="U330" s="127" t="s">
        <v>361</v>
      </c>
      <c r="V330" s="170"/>
      <c r="W330" s="170"/>
      <c r="X330" s="170"/>
      <c r="Y330" s="128" t="str">
        <f t="shared" si="126"/>
        <v/>
      </c>
      <c r="Z330" s="129" t="s">
        <v>361</v>
      </c>
      <c r="AA330" s="130" t="s">
        <v>361</v>
      </c>
      <c r="AB330" s="129" t="s">
        <v>361</v>
      </c>
      <c r="AC330" s="130" t="s">
        <v>361</v>
      </c>
      <c r="AD330" s="131" t="s">
        <v>361</v>
      </c>
      <c r="AE330" s="186"/>
      <c r="AF330" s="188"/>
      <c r="AG330" s="175"/>
      <c r="AH330" s="175"/>
      <c r="AI330" s="175"/>
      <c r="AJ330" s="175"/>
      <c r="AK330" s="176"/>
      <c r="AL330" s="176"/>
      <c r="AM330" s="352"/>
      <c r="AN330" s="352"/>
    </row>
    <row r="331" spans="1:40" ht="67.5">
      <c r="A331" s="341">
        <v>54</v>
      </c>
      <c r="B331" s="344" t="s">
        <v>215</v>
      </c>
      <c r="C331" s="344" t="s">
        <v>123</v>
      </c>
      <c r="D331" s="344" t="s">
        <v>884</v>
      </c>
      <c r="E331" s="344" t="s">
        <v>885</v>
      </c>
      <c r="F331" s="347" t="s">
        <v>886</v>
      </c>
      <c r="G331" s="344" t="s">
        <v>120</v>
      </c>
      <c r="H331" s="350">
        <v>600</v>
      </c>
      <c r="I331" s="353" t="s">
        <v>6</v>
      </c>
      <c r="J331" s="356">
        <v>0.8</v>
      </c>
      <c r="K331" s="359" t="s">
        <v>140</v>
      </c>
      <c r="L331" s="356" t="s">
        <v>140</v>
      </c>
      <c r="M331" s="353" t="s">
        <v>800</v>
      </c>
      <c r="N331" s="356">
        <v>0.2</v>
      </c>
      <c r="O331" s="362" t="s">
        <v>77</v>
      </c>
      <c r="P331" s="226">
        <v>1</v>
      </c>
      <c r="Q331" s="224" t="s">
        <v>887</v>
      </c>
      <c r="R331" s="227" t="s">
        <v>4</v>
      </c>
      <c r="S331" s="228" t="s">
        <v>14</v>
      </c>
      <c r="T331" s="228" t="s">
        <v>9</v>
      </c>
      <c r="U331" s="229" t="s">
        <v>346</v>
      </c>
      <c r="V331" s="228" t="s">
        <v>20</v>
      </c>
      <c r="W331" s="228" t="s">
        <v>22</v>
      </c>
      <c r="X331" s="228" t="s">
        <v>111</v>
      </c>
      <c r="Y331" s="230">
        <f>IFERROR(IF(R331="Probabilidad",(J331-(+J331*U331)),IF(R331="Impacto",J331,"")),"")</f>
        <v>0.48</v>
      </c>
      <c r="Z331" s="231" t="s">
        <v>99</v>
      </c>
      <c r="AA331" s="232">
        <v>0.48</v>
      </c>
      <c r="AB331" s="231" t="s">
        <v>800</v>
      </c>
      <c r="AC331" s="232">
        <v>0.2</v>
      </c>
      <c r="AD331" s="233" t="s">
        <v>77</v>
      </c>
      <c r="AE331" s="234" t="s">
        <v>257</v>
      </c>
      <c r="AF331" s="235" t="s">
        <v>888</v>
      </c>
      <c r="AG331" s="236" t="s">
        <v>889</v>
      </c>
      <c r="AH331" s="236" t="s">
        <v>804</v>
      </c>
      <c r="AI331" s="236" t="s">
        <v>890</v>
      </c>
      <c r="AJ331" s="236" t="s">
        <v>891</v>
      </c>
      <c r="AK331" s="237">
        <v>44683</v>
      </c>
      <c r="AL331" s="237">
        <v>44926</v>
      </c>
      <c r="AM331" s="344" t="s">
        <v>892</v>
      </c>
      <c r="AN331" s="350"/>
    </row>
    <row r="332" spans="1:40" ht="54">
      <c r="A332" s="342"/>
      <c r="B332" s="345"/>
      <c r="C332" s="345"/>
      <c r="D332" s="345"/>
      <c r="E332" s="345"/>
      <c r="F332" s="348"/>
      <c r="G332" s="345"/>
      <c r="H332" s="351"/>
      <c r="I332" s="354"/>
      <c r="J332" s="357"/>
      <c r="K332" s="360"/>
      <c r="L332" s="357">
        <v>0</v>
      </c>
      <c r="M332" s="354"/>
      <c r="N332" s="357"/>
      <c r="O332" s="363"/>
      <c r="P332" s="226">
        <v>2</v>
      </c>
      <c r="Q332" s="224"/>
      <c r="R332" s="227" t="s">
        <v>361</v>
      </c>
      <c r="S332" s="228"/>
      <c r="T332" s="228"/>
      <c r="U332" s="229" t="s">
        <v>361</v>
      </c>
      <c r="V332" s="228"/>
      <c r="W332" s="228"/>
      <c r="X332" s="228"/>
      <c r="Y332" s="230" t="str">
        <f>IFERROR(IF(AND(R331="Probabilidad",R332="Probabilidad"),(AA331-(+AA331*U332)),IF(R332="Probabilidad",(J331-(+J331*U332)),IF(R332="Impacto",AA331,""))),"")</f>
        <v/>
      </c>
      <c r="Z332" s="231" t="s">
        <v>361</v>
      </c>
      <c r="AA332" s="232" t="s">
        <v>361</v>
      </c>
      <c r="AB332" s="231" t="s">
        <v>361</v>
      </c>
      <c r="AC332" s="232" t="s">
        <v>361</v>
      </c>
      <c r="AD332" s="233" t="s">
        <v>361</v>
      </c>
      <c r="AE332" s="234"/>
      <c r="AF332" s="235" t="s">
        <v>893</v>
      </c>
      <c r="AG332" s="236" t="s">
        <v>889</v>
      </c>
      <c r="AH332" s="236" t="s">
        <v>804</v>
      </c>
      <c r="AI332" s="236" t="s">
        <v>890</v>
      </c>
      <c r="AJ332" s="236" t="s">
        <v>891</v>
      </c>
      <c r="AK332" s="237">
        <v>44683</v>
      </c>
      <c r="AL332" s="237">
        <v>44926</v>
      </c>
      <c r="AM332" s="351"/>
      <c r="AN332" s="351"/>
    </row>
    <row r="333" spans="1:40" ht="54">
      <c r="A333" s="342"/>
      <c r="B333" s="345"/>
      <c r="C333" s="345"/>
      <c r="D333" s="345"/>
      <c r="E333" s="345"/>
      <c r="F333" s="348"/>
      <c r="G333" s="345"/>
      <c r="H333" s="351"/>
      <c r="I333" s="354"/>
      <c r="J333" s="357"/>
      <c r="K333" s="360"/>
      <c r="L333" s="357">
        <v>0</v>
      </c>
      <c r="M333" s="354"/>
      <c r="N333" s="357"/>
      <c r="O333" s="363"/>
      <c r="P333" s="226">
        <v>3</v>
      </c>
      <c r="Q333" s="224"/>
      <c r="R333" s="227" t="s">
        <v>361</v>
      </c>
      <c r="S333" s="228"/>
      <c r="T333" s="228"/>
      <c r="U333" s="229" t="s">
        <v>361</v>
      </c>
      <c r="V333" s="228"/>
      <c r="W333" s="228"/>
      <c r="X333" s="228"/>
      <c r="Y333" s="230" t="str">
        <f>IFERROR(IF(AND(R332="Probabilidad",R333="Probabilidad"),(AA332-(+AA332*U333)),IF(AND(R332="Impacto",R333="Probabilidad"),(AA331-(+AA331*U333)),IF(R333="Impacto",AA332,""))),"")</f>
        <v/>
      </c>
      <c r="Z333" s="231" t="s">
        <v>361</v>
      </c>
      <c r="AA333" s="232" t="s">
        <v>361</v>
      </c>
      <c r="AB333" s="231" t="s">
        <v>361</v>
      </c>
      <c r="AC333" s="232" t="s">
        <v>361</v>
      </c>
      <c r="AD333" s="233" t="s">
        <v>361</v>
      </c>
      <c r="AE333" s="234"/>
      <c r="AF333" s="235" t="s">
        <v>894</v>
      </c>
      <c r="AG333" s="236" t="s">
        <v>889</v>
      </c>
      <c r="AH333" s="236" t="s">
        <v>804</v>
      </c>
      <c r="AI333" s="236" t="s">
        <v>890</v>
      </c>
      <c r="AJ333" s="236" t="s">
        <v>891</v>
      </c>
      <c r="AK333" s="237">
        <v>44683</v>
      </c>
      <c r="AL333" s="237">
        <v>44926</v>
      </c>
      <c r="AM333" s="351"/>
      <c r="AN333" s="351"/>
    </row>
    <row r="334" spans="1:40">
      <c r="A334" s="342"/>
      <c r="B334" s="345"/>
      <c r="C334" s="345"/>
      <c r="D334" s="345"/>
      <c r="E334" s="345"/>
      <c r="F334" s="348"/>
      <c r="G334" s="345"/>
      <c r="H334" s="351"/>
      <c r="I334" s="354"/>
      <c r="J334" s="357"/>
      <c r="K334" s="360"/>
      <c r="L334" s="357">
        <v>0</v>
      </c>
      <c r="M334" s="354"/>
      <c r="N334" s="357"/>
      <c r="O334" s="363"/>
      <c r="P334" s="226">
        <v>4</v>
      </c>
      <c r="Q334" s="238"/>
      <c r="R334" s="227" t="s">
        <v>361</v>
      </c>
      <c r="S334" s="228"/>
      <c r="T334" s="228"/>
      <c r="U334" s="229" t="s">
        <v>361</v>
      </c>
      <c r="V334" s="228"/>
      <c r="W334" s="228"/>
      <c r="X334" s="228"/>
      <c r="Y334" s="230" t="str">
        <f t="shared" ref="Y334:Y336" si="127">IFERROR(IF(AND(R333="Probabilidad",R334="Probabilidad"),(AA333-(+AA333*U334)),IF(AND(R333="Impacto",R334="Probabilidad"),(AA332-(+AA332*U334)),IF(R334="Impacto",AA333,""))),"")</f>
        <v/>
      </c>
      <c r="Z334" s="231" t="s">
        <v>361</v>
      </c>
      <c r="AA334" s="232" t="s">
        <v>361</v>
      </c>
      <c r="AB334" s="231" t="s">
        <v>361</v>
      </c>
      <c r="AC334" s="232" t="s">
        <v>361</v>
      </c>
      <c r="AD334" s="233" t="s">
        <v>361</v>
      </c>
      <c r="AE334" s="234"/>
      <c r="AF334" s="235"/>
      <c r="AG334" s="236"/>
      <c r="AH334" s="236"/>
      <c r="AI334" s="236"/>
      <c r="AJ334" s="236"/>
      <c r="AK334" s="237"/>
      <c r="AL334" s="237"/>
      <c r="AM334" s="351"/>
      <c r="AN334" s="351"/>
    </row>
    <row r="335" spans="1:40">
      <c r="A335" s="342"/>
      <c r="B335" s="345"/>
      <c r="C335" s="345"/>
      <c r="D335" s="345"/>
      <c r="E335" s="345"/>
      <c r="F335" s="348"/>
      <c r="G335" s="345"/>
      <c r="H335" s="351"/>
      <c r="I335" s="354"/>
      <c r="J335" s="357"/>
      <c r="K335" s="360"/>
      <c r="L335" s="357">
        <v>0</v>
      </c>
      <c r="M335" s="354"/>
      <c r="N335" s="357"/>
      <c r="O335" s="363"/>
      <c r="P335" s="226">
        <v>5</v>
      </c>
      <c r="Q335" s="224"/>
      <c r="R335" s="227" t="s">
        <v>361</v>
      </c>
      <c r="S335" s="228"/>
      <c r="T335" s="228"/>
      <c r="U335" s="229" t="s">
        <v>361</v>
      </c>
      <c r="V335" s="228"/>
      <c r="W335" s="228"/>
      <c r="X335" s="228"/>
      <c r="Y335" s="230" t="str">
        <f t="shared" si="127"/>
        <v/>
      </c>
      <c r="Z335" s="231" t="s">
        <v>361</v>
      </c>
      <c r="AA335" s="232" t="s">
        <v>361</v>
      </c>
      <c r="AB335" s="231" t="s">
        <v>361</v>
      </c>
      <c r="AC335" s="232" t="s">
        <v>361</v>
      </c>
      <c r="AD335" s="233" t="s">
        <v>361</v>
      </c>
      <c r="AE335" s="234"/>
      <c r="AF335" s="235"/>
      <c r="AG335" s="236"/>
      <c r="AH335" s="236"/>
      <c r="AI335" s="236"/>
      <c r="AJ335" s="236"/>
      <c r="AK335" s="237"/>
      <c r="AL335" s="237"/>
      <c r="AM335" s="351"/>
      <c r="AN335" s="351"/>
    </row>
    <row r="336" spans="1:40">
      <c r="A336" s="343"/>
      <c r="B336" s="346"/>
      <c r="C336" s="346"/>
      <c r="D336" s="346"/>
      <c r="E336" s="346"/>
      <c r="F336" s="349"/>
      <c r="G336" s="346"/>
      <c r="H336" s="352"/>
      <c r="I336" s="355"/>
      <c r="J336" s="358"/>
      <c r="K336" s="361"/>
      <c r="L336" s="358">
        <v>0</v>
      </c>
      <c r="M336" s="355"/>
      <c r="N336" s="358"/>
      <c r="O336" s="364"/>
      <c r="P336" s="226">
        <v>6</v>
      </c>
      <c r="Q336" s="224"/>
      <c r="R336" s="227" t="s">
        <v>361</v>
      </c>
      <c r="S336" s="228"/>
      <c r="T336" s="228"/>
      <c r="U336" s="229" t="s">
        <v>361</v>
      </c>
      <c r="V336" s="228"/>
      <c r="W336" s="228"/>
      <c r="X336" s="228"/>
      <c r="Y336" s="230" t="str">
        <f t="shared" si="127"/>
        <v/>
      </c>
      <c r="Z336" s="231" t="s">
        <v>361</v>
      </c>
      <c r="AA336" s="232" t="s">
        <v>361</v>
      </c>
      <c r="AB336" s="231" t="s">
        <v>361</v>
      </c>
      <c r="AC336" s="232" t="s">
        <v>361</v>
      </c>
      <c r="AD336" s="233" t="s">
        <v>361</v>
      </c>
      <c r="AE336" s="234"/>
      <c r="AF336" s="235"/>
      <c r="AG336" s="236"/>
      <c r="AH336" s="236"/>
      <c r="AI336" s="236"/>
      <c r="AJ336" s="236"/>
      <c r="AK336" s="237"/>
      <c r="AL336" s="237"/>
      <c r="AM336" s="352"/>
      <c r="AN336" s="352"/>
    </row>
    <row r="337" spans="1:40" ht="67.5">
      <c r="A337" s="341">
        <v>55</v>
      </c>
      <c r="B337" s="344" t="s">
        <v>215</v>
      </c>
      <c r="C337" s="344" t="s">
        <v>123</v>
      </c>
      <c r="D337" s="344" t="s">
        <v>895</v>
      </c>
      <c r="E337" s="344" t="s">
        <v>896</v>
      </c>
      <c r="F337" s="347" t="s">
        <v>897</v>
      </c>
      <c r="G337" s="344" t="s">
        <v>120</v>
      </c>
      <c r="H337" s="350">
        <v>600</v>
      </c>
      <c r="I337" s="353" t="s">
        <v>6</v>
      </c>
      <c r="J337" s="356">
        <v>0.8</v>
      </c>
      <c r="K337" s="359" t="s">
        <v>140</v>
      </c>
      <c r="L337" s="356" t="s">
        <v>140</v>
      </c>
      <c r="M337" s="353" t="s">
        <v>800</v>
      </c>
      <c r="N337" s="356">
        <v>0.2</v>
      </c>
      <c r="O337" s="362" t="s">
        <v>77</v>
      </c>
      <c r="P337" s="226">
        <v>1</v>
      </c>
      <c r="Q337" s="225" t="s">
        <v>898</v>
      </c>
      <c r="R337" s="227" t="s">
        <v>4</v>
      </c>
      <c r="S337" s="228" t="s">
        <v>14</v>
      </c>
      <c r="T337" s="228" t="s">
        <v>9</v>
      </c>
      <c r="U337" s="229" t="s">
        <v>346</v>
      </c>
      <c r="V337" s="228" t="s">
        <v>20</v>
      </c>
      <c r="W337" s="228" t="s">
        <v>22</v>
      </c>
      <c r="X337" s="228" t="s">
        <v>111</v>
      </c>
      <c r="Y337" s="230">
        <f>IFERROR(IF(R337="Probabilidad",(J337-(+J337*U337)),IF(R337="Impacto",J337,"")),"")</f>
        <v>0.48</v>
      </c>
      <c r="Z337" s="231" t="s">
        <v>99</v>
      </c>
      <c r="AA337" s="232">
        <v>0.48</v>
      </c>
      <c r="AB337" s="231" t="s">
        <v>800</v>
      </c>
      <c r="AC337" s="232">
        <v>0.2</v>
      </c>
      <c r="AD337" s="233" t="s">
        <v>77</v>
      </c>
      <c r="AE337" s="234" t="s">
        <v>257</v>
      </c>
      <c r="AF337" s="235" t="s">
        <v>899</v>
      </c>
      <c r="AG337" s="236" t="s">
        <v>889</v>
      </c>
      <c r="AH337" s="236" t="s">
        <v>804</v>
      </c>
      <c r="AI337" s="236" t="s">
        <v>890</v>
      </c>
      <c r="AJ337" s="236" t="s">
        <v>891</v>
      </c>
      <c r="AK337" s="237">
        <v>44683</v>
      </c>
      <c r="AL337" s="237">
        <v>44926</v>
      </c>
      <c r="AM337" s="344" t="s">
        <v>900</v>
      </c>
      <c r="AN337" s="350"/>
    </row>
    <row r="338" spans="1:40" ht="40.5">
      <c r="A338" s="342"/>
      <c r="B338" s="345"/>
      <c r="C338" s="345"/>
      <c r="D338" s="345"/>
      <c r="E338" s="345"/>
      <c r="F338" s="348"/>
      <c r="G338" s="345"/>
      <c r="H338" s="351"/>
      <c r="I338" s="354"/>
      <c r="J338" s="357"/>
      <c r="K338" s="360"/>
      <c r="L338" s="357">
        <v>0</v>
      </c>
      <c r="M338" s="354"/>
      <c r="N338" s="357"/>
      <c r="O338" s="363"/>
      <c r="P338" s="226">
        <v>2</v>
      </c>
      <c r="Q338" s="224"/>
      <c r="R338" s="227" t="s">
        <v>361</v>
      </c>
      <c r="S338" s="228"/>
      <c r="T338" s="228"/>
      <c r="U338" s="229" t="s">
        <v>361</v>
      </c>
      <c r="V338" s="228"/>
      <c r="W338" s="228"/>
      <c r="X338" s="228"/>
      <c r="Y338" s="230" t="str">
        <f>IFERROR(IF(AND(R337="Probabilidad",R338="Probabilidad"),(AA337-(+AA337*U338)),IF(R338="Probabilidad",(J337-(+J337*U338)),IF(R338="Impacto",AA337,""))),"")</f>
        <v/>
      </c>
      <c r="Z338" s="231" t="s">
        <v>361</v>
      </c>
      <c r="AA338" s="232" t="s">
        <v>361</v>
      </c>
      <c r="AB338" s="231" t="s">
        <v>361</v>
      </c>
      <c r="AC338" s="232" t="s">
        <v>361</v>
      </c>
      <c r="AD338" s="233" t="s">
        <v>361</v>
      </c>
      <c r="AE338" s="234"/>
      <c r="AF338" s="235" t="s">
        <v>901</v>
      </c>
      <c r="AG338" s="236" t="s">
        <v>889</v>
      </c>
      <c r="AH338" s="236" t="s">
        <v>804</v>
      </c>
      <c r="AI338" s="236" t="s">
        <v>890</v>
      </c>
      <c r="AJ338" s="236" t="s">
        <v>891</v>
      </c>
      <c r="AK338" s="237">
        <v>44683</v>
      </c>
      <c r="AL338" s="237">
        <v>44926</v>
      </c>
      <c r="AM338" s="351"/>
      <c r="AN338" s="351"/>
    </row>
    <row r="339" spans="1:40">
      <c r="A339" s="342"/>
      <c r="B339" s="345"/>
      <c r="C339" s="345"/>
      <c r="D339" s="345"/>
      <c r="E339" s="345"/>
      <c r="F339" s="348"/>
      <c r="G339" s="345"/>
      <c r="H339" s="351"/>
      <c r="I339" s="354"/>
      <c r="J339" s="357"/>
      <c r="K339" s="360"/>
      <c r="L339" s="357">
        <v>0</v>
      </c>
      <c r="M339" s="354"/>
      <c r="N339" s="357"/>
      <c r="O339" s="363"/>
      <c r="P339" s="226">
        <v>3</v>
      </c>
      <c r="Q339" s="238"/>
      <c r="R339" s="227" t="s">
        <v>361</v>
      </c>
      <c r="S339" s="228"/>
      <c r="T339" s="228"/>
      <c r="U339" s="229" t="s">
        <v>361</v>
      </c>
      <c r="V339" s="228"/>
      <c r="W339" s="228"/>
      <c r="X339" s="228"/>
      <c r="Y339" s="230" t="str">
        <f>IFERROR(IF(AND(R338="Probabilidad",R339="Probabilidad"),(AA338-(+AA338*U339)),IF(AND(R338="Impacto",R339="Probabilidad"),(AA337-(+AA337*U339)),IF(R339="Impacto",AA338,""))),"")</f>
        <v/>
      </c>
      <c r="Z339" s="231" t="s">
        <v>361</v>
      </c>
      <c r="AA339" s="232" t="s">
        <v>361</v>
      </c>
      <c r="AB339" s="231" t="s">
        <v>361</v>
      </c>
      <c r="AC339" s="232" t="s">
        <v>361</v>
      </c>
      <c r="AD339" s="233" t="s">
        <v>361</v>
      </c>
      <c r="AE339" s="234"/>
      <c r="AF339" s="235"/>
      <c r="AG339" s="236"/>
      <c r="AH339" s="236"/>
      <c r="AI339" s="236"/>
      <c r="AJ339" s="236"/>
      <c r="AK339" s="237"/>
      <c r="AL339" s="237"/>
      <c r="AM339" s="351"/>
      <c r="AN339" s="351"/>
    </row>
    <row r="340" spans="1:40">
      <c r="A340" s="342"/>
      <c r="B340" s="345"/>
      <c r="C340" s="345"/>
      <c r="D340" s="345"/>
      <c r="E340" s="345"/>
      <c r="F340" s="348"/>
      <c r="G340" s="345"/>
      <c r="H340" s="351"/>
      <c r="I340" s="354"/>
      <c r="J340" s="357"/>
      <c r="K340" s="360"/>
      <c r="L340" s="357">
        <v>0</v>
      </c>
      <c r="M340" s="354"/>
      <c r="N340" s="357"/>
      <c r="O340" s="363"/>
      <c r="P340" s="226">
        <v>4</v>
      </c>
      <c r="Q340" s="224"/>
      <c r="R340" s="227" t="s">
        <v>361</v>
      </c>
      <c r="S340" s="228"/>
      <c r="T340" s="228"/>
      <c r="U340" s="229" t="s">
        <v>361</v>
      </c>
      <c r="V340" s="228"/>
      <c r="W340" s="228"/>
      <c r="X340" s="228"/>
      <c r="Y340" s="230" t="str">
        <f t="shared" ref="Y340:Y342" si="128">IFERROR(IF(AND(R339="Probabilidad",R340="Probabilidad"),(AA339-(+AA339*U340)),IF(AND(R339="Impacto",R340="Probabilidad"),(AA338-(+AA338*U340)),IF(R340="Impacto",AA339,""))),"")</f>
        <v/>
      </c>
      <c r="Z340" s="231" t="s">
        <v>361</v>
      </c>
      <c r="AA340" s="232" t="s">
        <v>361</v>
      </c>
      <c r="AB340" s="231" t="s">
        <v>361</v>
      </c>
      <c r="AC340" s="232" t="s">
        <v>361</v>
      </c>
      <c r="AD340" s="233" t="s">
        <v>361</v>
      </c>
      <c r="AE340" s="234"/>
      <c r="AF340" s="235"/>
      <c r="AG340" s="236"/>
      <c r="AH340" s="236"/>
      <c r="AI340" s="236"/>
      <c r="AJ340" s="236"/>
      <c r="AK340" s="237"/>
      <c r="AL340" s="237"/>
      <c r="AM340" s="351"/>
      <c r="AN340" s="351"/>
    </row>
    <row r="341" spans="1:40">
      <c r="A341" s="342"/>
      <c r="B341" s="345"/>
      <c r="C341" s="345"/>
      <c r="D341" s="345"/>
      <c r="E341" s="345"/>
      <c r="F341" s="348"/>
      <c r="G341" s="345"/>
      <c r="H341" s="351"/>
      <c r="I341" s="354"/>
      <c r="J341" s="357"/>
      <c r="K341" s="360"/>
      <c r="L341" s="357">
        <v>0</v>
      </c>
      <c r="M341" s="354"/>
      <c r="N341" s="357"/>
      <c r="O341" s="363"/>
      <c r="P341" s="226">
        <v>5</v>
      </c>
      <c r="Q341" s="224"/>
      <c r="R341" s="227" t="s">
        <v>361</v>
      </c>
      <c r="S341" s="228"/>
      <c r="T341" s="228"/>
      <c r="U341" s="229" t="s">
        <v>361</v>
      </c>
      <c r="V341" s="228"/>
      <c r="W341" s="228"/>
      <c r="X341" s="228"/>
      <c r="Y341" s="230" t="str">
        <f t="shared" si="128"/>
        <v/>
      </c>
      <c r="Z341" s="231" t="s">
        <v>361</v>
      </c>
      <c r="AA341" s="232" t="s">
        <v>361</v>
      </c>
      <c r="AB341" s="231" t="s">
        <v>361</v>
      </c>
      <c r="AC341" s="232" t="s">
        <v>361</v>
      </c>
      <c r="AD341" s="233" t="s">
        <v>361</v>
      </c>
      <c r="AE341" s="234"/>
      <c r="AF341" s="235"/>
      <c r="AG341" s="236"/>
      <c r="AH341" s="236"/>
      <c r="AI341" s="236"/>
      <c r="AJ341" s="236"/>
      <c r="AK341" s="237"/>
      <c r="AL341" s="237"/>
      <c r="AM341" s="351"/>
      <c r="AN341" s="351"/>
    </row>
    <row r="342" spans="1:40">
      <c r="A342" s="343"/>
      <c r="B342" s="346"/>
      <c r="C342" s="346"/>
      <c r="D342" s="346"/>
      <c r="E342" s="346"/>
      <c r="F342" s="349"/>
      <c r="G342" s="346"/>
      <c r="H342" s="352"/>
      <c r="I342" s="355"/>
      <c r="J342" s="358"/>
      <c r="K342" s="361"/>
      <c r="L342" s="358">
        <v>0</v>
      </c>
      <c r="M342" s="355"/>
      <c r="N342" s="358"/>
      <c r="O342" s="364"/>
      <c r="P342" s="226">
        <v>6</v>
      </c>
      <c r="Q342" s="224"/>
      <c r="R342" s="227" t="s">
        <v>361</v>
      </c>
      <c r="S342" s="228"/>
      <c r="T342" s="228"/>
      <c r="U342" s="229" t="s">
        <v>361</v>
      </c>
      <c r="V342" s="228"/>
      <c r="W342" s="228"/>
      <c r="X342" s="228"/>
      <c r="Y342" s="230" t="str">
        <f t="shared" si="128"/>
        <v/>
      </c>
      <c r="Z342" s="231" t="s">
        <v>361</v>
      </c>
      <c r="AA342" s="232" t="s">
        <v>361</v>
      </c>
      <c r="AB342" s="231" t="s">
        <v>361</v>
      </c>
      <c r="AC342" s="232" t="s">
        <v>361</v>
      </c>
      <c r="AD342" s="233" t="s">
        <v>361</v>
      </c>
      <c r="AE342" s="234"/>
      <c r="AF342" s="235"/>
      <c r="AG342" s="236"/>
      <c r="AH342" s="236"/>
      <c r="AI342" s="236"/>
      <c r="AJ342" s="236"/>
      <c r="AK342" s="237"/>
      <c r="AL342" s="237"/>
      <c r="AM342" s="352"/>
      <c r="AN342" s="352"/>
    </row>
    <row r="343" spans="1:40" ht="54">
      <c r="A343" s="341">
        <v>56</v>
      </c>
      <c r="B343" s="344" t="s">
        <v>215</v>
      </c>
      <c r="C343" s="344" t="s">
        <v>125</v>
      </c>
      <c r="D343" s="344" t="s">
        <v>902</v>
      </c>
      <c r="E343" s="344" t="s">
        <v>903</v>
      </c>
      <c r="F343" s="347" t="s">
        <v>904</v>
      </c>
      <c r="G343" s="344" t="s">
        <v>117</v>
      </c>
      <c r="H343" s="350">
        <v>1180</v>
      </c>
      <c r="I343" s="353" t="s">
        <v>6</v>
      </c>
      <c r="J343" s="356">
        <v>0.8</v>
      </c>
      <c r="K343" s="359" t="s">
        <v>141</v>
      </c>
      <c r="L343" s="356" t="s">
        <v>141</v>
      </c>
      <c r="M343" s="353" t="s">
        <v>80</v>
      </c>
      <c r="N343" s="356">
        <v>0.4</v>
      </c>
      <c r="O343" s="362" t="s">
        <v>77</v>
      </c>
      <c r="P343" s="226">
        <v>1</v>
      </c>
      <c r="Q343" s="224" t="s">
        <v>905</v>
      </c>
      <c r="R343" s="227" t="s">
        <v>4</v>
      </c>
      <c r="S343" s="228" t="s">
        <v>14</v>
      </c>
      <c r="T343" s="228" t="s">
        <v>9</v>
      </c>
      <c r="U343" s="229" t="s">
        <v>346</v>
      </c>
      <c r="V343" s="228" t="s">
        <v>19</v>
      </c>
      <c r="W343" s="228" t="s">
        <v>23</v>
      </c>
      <c r="X343" s="228" t="s">
        <v>111</v>
      </c>
      <c r="Y343" s="230">
        <f>IFERROR(IF(R343="Probabilidad",(J343-(+J343*U343)),IF(R343="Impacto",J343,"")),"")</f>
        <v>0.48</v>
      </c>
      <c r="Z343" s="231" t="s">
        <v>99</v>
      </c>
      <c r="AA343" s="232">
        <v>0.48</v>
      </c>
      <c r="AB343" s="231" t="s">
        <v>80</v>
      </c>
      <c r="AC343" s="232">
        <v>0.4</v>
      </c>
      <c r="AD343" s="233" t="s">
        <v>77</v>
      </c>
      <c r="AE343" s="234" t="s">
        <v>257</v>
      </c>
      <c r="AF343" s="235" t="s">
        <v>906</v>
      </c>
      <c r="AG343" s="236" t="s">
        <v>907</v>
      </c>
      <c r="AH343" s="236" t="s">
        <v>908</v>
      </c>
      <c r="AI343" s="236" t="s">
        <v>909</v>
      </c>
      <c r="AJ343" s="236" t="s">
        <v>910</v>
      </c>
      <c r="AK343" s="237">
        <v>44680</v>
      </c>
      <c r="AL343" s="237">
        <v>44926</v>
      </c>
      <c r="AM343" s="344" t="s">
        <v>911</v>
      </c>
      <c r="AN343" s="350"/>
    </row>
    <row r="344" spans="1:40" ht="54">
      <c r="A344" s="342"/>
      <c r="B344" s="345"/>
      <c r="C344" s="345"/>
      <c r="D344" s="345"/>
      <c r="E344" s="345"/>
      <c r="F344" s="348"/>
      <c r="G344" s="345"/>
      <c r="H344" s="351"/>
      <c r="I344" s="354"/>
      <c r="J344" s="357"/>
      <c r="K344" s="360"/>
      <c r="L344" s="357">
        <v>0</v>
      </c>
      <c r="M344" s="354"/>
      <c r="N344" s="357"/>
      <c r="O344" s="363"/>
      <c r="P344" s="226">
        <v>2</v>
      </c>
      <c r="Q344" s="224"/>
      <c r="R344" s="227" t="s">
        <v>361</v>
      </c>
      <c r="S344" s="228"/>
      <c r="T344" s="228"/>
      <c r="U344" s="229" t="s">
        <v>361</v>
      </c>
      <c r="V344" s="228"/>
      <c r="W344" s="228"/>
      <c r="X344" s="228"/>
      <c r="Y344" s="230" t="str">
        <f>IFERROR(IF(AND(R343="Probabilidad",R344="Probabilidad"),(AA343-(+AA343*U344)),IF(R344="Probabilidad",(J343-(+J343*U344)),IF(R344="Impacto",AA343,""))),"")</f>
        <v/>
      </c>
      <c r="Z344" s="231" t="s">
        <v>361</v>
      </c>
      <c r="AA344" s="232" t="s">
        <v>361</v>
      </c>
      <c r="AB344" s="231" t="s">
        <v>361</v>
      </c>
      <c r="AC344" s="232" t="s">
        <v>361</v>
      </c>
      <c r="AD344" s="233" t="s">
        <v>361</v>
      </c>
      <c r="AE344" s="234"/>
      <c r="AF344" s="235" t="s">
        <v>912</v>
      </c>
      <c r="AG344" s="236" t="s">
        <v>913</v>
      </c>
      <c r="AH344" s="236" t="s">
        <v>908</v>
      </c>
      <c r="AI344" s="236" t="s">
        <v>909</v>
      </c>
      <c r="AJ344" s="236" t="s">
        <v>910</v>
      </c>
      <c r="AK344" s="237">
        <v>44680</v>
      </c>
      <c r="AL344" s="237">
        <v>44926</v>
      </c>
      <c r="AM344" s="351"/>
      <c r="AN344" s="351"/>
    </row>
    <row r="345" spans="1:40">
      <c r="A345" s="342"/>
      <c r="B345" s="345"/>
      <c r="C345" s="345"/>
      <c r="D345" s="345"/>
      <c r="E345" s="345"/>
      <c r="F345" s="348"/>
      <c r="G345" s="345"/>
      <c r="H345" s="351"/>
      <c r="I345" s="354"/>
      <c r="J345" s="357"/>
      <c r="K345" s="360"/>
      <c r="L345" s="357">
        <v>0</v>
      </c>
      <c r="M345" s="354"/>
      <c r="N345" s="357"/>
      <c r="O345" s="363"/>
      <c r="P345" s="226">
        <v>3</v>
      </c>
      <c r="Q345" s="225"/>
      <c r="R345" s="227" t="s">
        <v>361</v>
      </c>
      <c r="S345" s="228"/>
      <c r="T345" s="228"/>
      <c r="U345" s="229" t="s">
        <v>361</v>
      </c>
      <c r="V345" s="228"/>
      <c r="W345" s="228"/>
      <c r="X345" s="228"/>
      <c r="Y345" s="230" t="str">
        <f>IFERROR(IF(AND(R344="Probabilidad",R345="Probabilidad"),(AA344-(+AA344*U345)),IF(AND(R344="Impacto",R345="Probabilidad"),(AA343-(+AA343*U345)),IF(R345="Impacto",AA344,""))),"")</f>
        <v/>
      </c>
      <c r="Z345" s="231" t="s">
        <v>361</v>
      </c>
      <c r="AA345" s="232" t="s">
        <v>361</v>
      </c>
      <c r="AB345" s="231" t="s">
        <v>361</v>
      </c>
      <c r="AC345" s="232" t="s">
        <v>361</v>
      </c>
      <c r="AD345" s="233" t="s">
        <v>361</v>
      </c>
      <c r="AE345" s="234"/>
      <c r="AF345" s="235"/>
      <c r="AG345" s="236"/>
      <c r="AH345" s="236"/>
      <c r="AI345" s="236"/>
      <c r="AJ345" s="236"/>
      <c r="AK345" s="237"/>
      <c r="AL345" s="237"/>
      <c r="AM345" s="351"/>
      <c r="AN345" s="351"/>
    </row>
    <row r="346" spans="1:40">
      <c r="A346" s="342"/>
      <c r="B346" s="345"/>
      <c r="C346" s="345"/>
      <c r="D346" s="345"/>
      <c r="E346" s="345"/>
      <c r="F346" s="348"/>
      <c r="G346" s="345"/>
      <c r="H346" s="351"/>
      <c r="I346" s="354"/>
      <c r="J346" s="357"/>
      <c r="K346" s="360"/>
      <c r="L346" s="357">
        <v>0</v>
      </c>
      <c r="M346" s="354"/>
      <c r="N346" s="357"/>
      <c r="O346" s="363"/>
      <c r="P346" s="226">
        <v>4</v>
      </c>
      <c r="Q346" s="224"/>
      <c r="R346" s="227" t="s">
        <v>361</v>
      </c>
      <c r="S346" s="228"/>
      <c r="T346" s="228"/>
      <c r="U346" s="229" t="s">
        <v>361</v>
      </c>
      <c r="V346" s="228"/>
      <c r="W346" s="228"/>
      <c r="X346" s="228"/>
      <c r="Y346" s="230" t="str">
        <f t="shared" ref="Y346:Y348" si="129">IFERROR(IF(AND(R345="Probabilidad",R346="Probabilidad"),(AA345-(+AA345*U346)),IF(AND(R345="Impacto",R346="Probabilidad"),(AA344-(+AA344*U346)),IF(R346="Impacto",AA345,""))),"")</f>
        <v/>
      </c>
      <c r="Z346" s="231" t="s">
        <v>361</v>
      </c>
      <c r="AA346" s="232" t="s">
        <v>361</v>
      </c>
      <c r="AB346" s="231" t="s">
        <v>361</v>
      </c>
      <c r="AC346" s="232" t="s">
        <v>361</v>
      </c>
      <c r="AD346" s="233" t="s">
        <v>361</v>
      </c>
      <c r="AE346" s="234"/>
      <c r="AF346" s="235"/>
      <c r="AG346" s="236"/>
      <c r="AH346" s="236"/>
      <c r="AI346" s="236"/>
      <c r="AJ346" s="236"/>
      <c r="AK346" s="237"/>
      <c r="AL346" s="237"/>
      <c r="AM346" s="351"/>
      <c r="AN346" s="351"/>
    </row>
    <row r="347" spans="1:40">
      <c r="A347" s="342"/>
      <c r="B347" s="345"/>
      <c r="C347" s="345"/>
      <c r="D347" s="345"/>
      <c r="E347" s="345"/>
      <c r="F347" s="348"/>
      <c r="G347" s="345"/>
      <c r="H347" s="351"/>
      <c r="I347" s="354"/>
      <c r="J347" s="357"/>
      <c r="K347" s="360"/>
      <c r="L347" s="357">
        <v>0</v>
      </c>
      <c r="M347" s="354"/>
      <c r="N347" s="357"/>
      <c r="O347" s="363"/>
      <c r="P347" s="226">
        <v>5</v>
      </c>
      <c r="Q347" s="224"/>
      <c r="R347" s="227" t="s">
        <v>361</v>
      </c>
      <c r="S347" s="228"/>
      <c r="T347" s="228"/>
      <c r="U347" s="229" t="s">
        <v>361</v>
      </c>
      <c r="V347" s="228"/>
      <c r="W347" s="228"/>
      <c r="X347" s="228"/>
      <c r="Y347" s="230" t="str">
        <f t="shared" si="129"/>
        <v/>
      </c>
      <c r="Z347" s="231" t="s">
        <v>361</v>
      </c>
      <c r="AA347" s="232" t="s">
        <v>361</v>
      </c>
      <c r="AB347" s="231" t="s">
        <v>361</v>
      </c>
      <c r="AC347" s="232" t="s">
        <v>361</v>
      </c>
      <c r="AD347" s="233" t="s">
        <v>361</v>
      </c>
      <c r="AE347" s="234"/>
      <c r="AF347" s="235"/>
      <c r="AG347" s="236"/>
      <c r="AH347" s="236"/>
      <c r="AI347" s="236"/>
      <c r="AJ347" s="236"/>
      <c r="AK347" s="237"/>
      <c r="AL347" s="237"/>
      <c r="AM347" s="351"/>
      <c r="AN347" s="351"/>
    </row>
    <row r="348" spans="1:40">
      <c r="A348" s="343"/>
      <c r="B348" s="346"/>
      <c r="C348" s="346"/>
      <c r="D348" s="346"/>
      <c r="E348" s="346"/>
      <c r="F348" s="349"/>
      <c r="G348" s="346"/>
      <c r="H348" s="352"/>
      <c r="I348" s="355"/>
      <c r="J348" s="358"/>
      <c r="K348" s="361"/>
      <c r="L348" s="358">
        <v>0</v>
      </c>
      <c r="M348" s="355"/>
      <c r="N348" s="358"/>
      <c r="O348" s="364"/>
      <c r="P348" s="226">
        <v>6</v>
      </c>
      <c r="Q348" s="224"/>
      <c r="R348" s="227" t="s">
        <v>361</v>
      </c>
      <c r="S348" s="228"/>
      <c r="T348" s="228"/>
      <c r="U348" s="229" t="s">
        <v>361</v>
      </c>
      <c r="V348" s="228"/>
      <c r="W348" s="228"/>
      <c r="X348" s="228"/>
      <c r="Y348" s="230" t="str">
        <f t="shared" si="129"/>
        <v/>
      </c>
      <c r="Z348" s="231" t="s">
        <v>361</v>
      </c>
      <c r="AA348" s="232" t="s">
        <v>361</v>
      </c>
      <c r="AB348" s="231" t="s">
        <v>361</v>
      </c>
      <c r="AC348" s="232" t="s">
        <v>361</v>
      </c>
      <c r="AD348" s="233" t="s">
        <v>361</v>
      </c>
      <c r="AE348" s="234"/>
      <c r="AF348" s="235"/>
      <c r="AG348" s="236"/>
      <c r="AH348" s="236"/>
      <c r="AI348" s="236"/>
      <c r="AJ348" s="236"/>
      <c r="AK348" s="237"/>
      <c r="AL348" s="237"/>
      <c r="AM348" s="352"/>
      <c r="AN348" s="352"/>
    </row>
    <row r="349" spans="1:40" ht="81">
      <c r="A349" s="341">
        <v>57</v>
      </c>
      <c r="B349" s="344" t="s">
        <v>215</v>
      </c>
      <c r="C349" s="344" t="s">
        <v>123</v>
      </c>
      <c r="D349" s="344" t="s">
        <v>914</v>
      </c>
      <c r="E349" s="344" t="s">
        <v>915</v>
      </c>
      <c r="F349" s="347" t="s">
        <v>916</v>
      </c>
      <c r="G349" s="344" t="s">
        <v>116</v>
      </c>
      <c r="H349" s="350">
        <v>250</v>
      </c>
      <c r="I349" s="353" t="s">
        <v>99</v>
      </c>
      <c r="J349" s="356">
        <v>0.6</v>
      </c>
      <c r="K349" s="359" t="s">
        <v>140</v>
      </c>
      <c r="L349" s="356" t="s">
        <v>140</v>
      </c>
      <c r="M349" s="353" t="s">
        <v>800</v>
      </c>
      <c r="N349" s="356">
        <v>0.2</v>
      </c>
      <c r="O349" s="362" t="s">
        <v>77</v>
      </c>
      <c r="P349" s="226">
        <v>1</v>
      </c>
      <c r="Q349" s="224" t="s">
        <v>917</v>
      </c>
      <c r="R349" s="227" t="s">
        <v>4</v>
      </c>
      <c r="S349" s="228" t="s">
        <v>14</v>
      </c>
      <c r="T349" s="228" t="s">
        <v>9</v>
      </c>
      <c r="U349" s="229" t="s">
        <v>346</v>
      </c>
      <c r="V349" s="228" t="s">
        <v>19</v>
      </c>
      <c r="W349" s="228" t="s">
        <v>23</v>
      </c>
      <c r="X349" s="228" t="s">
        <v>111</v>
      </c>
      <c r="Y349" s="230">
        <f>IFERROR(IF(R349="Probabilidad",(J349-(+J349*U349)),IF(R349="Impacto",J349,"")),"")</f>
        <v>0.36</v>
      </c>
      <c r="Z349" s="231" t="s">
        <v>49</v>
      </c>
      <c r="AA349" s="232">
        <v>0.36</v>
      </c>
      <c r="AB349" s="231" t="s">
        <v>800</v>
      </c>
      <c r="AC349" s="232">
        <v>0.2</v>
      </c>
      <c r="AD349" s="233" t="s">
        <v>78</v>
      </c>
      <c r="AE349" s="234"/>
      <c r="AF349" s="239" t="s">
        <v>918</v>
      </c>
      <c r="AG349" s="236" t="s">
        <v>919</v>
      </c>
      <c r="AH349" s="236" t="s">
        <v>300</v>
      </c>
      <c r="AI349" s="236" t="s">
        <v>909</v>
      </c>
      <c r="AJ349" s="236" t="s">
        <v>910</v>
      </c>
      <c r="AK349" s="237">
        <v>44680</v>
      </c>
      <c r="AL349" s="237">
        <v>44926</v>
      </c>
      <c r="AM349" s="350" t="s">
        <v>920</v>
      </c>
      <c r="AN349" s="350"/>
    </row>
    <row r="350" spans="1:40" ht="67.5">
      <c r="A350" s="342"/>
      <c r="B350" s="345"/>
      <c r="C350" s="345"/>
      <c r="D350" s="345"/>
      <c r="E350" s="345"/>
      <c r="F350" s="348"/>
      <c r="G350" s="345"/>
      <c r="H350" s="351"/>
      <c r="I350" s="354"/>
      <c r="J350" s="357"/>
      <c r="K350" s="360"/>
      <c r="L350" s="357">
        <v>0</v>
      </c>
      <c r="M350" s="354"/>
      <c r="N350" s="357"/>
      <c r="O350" s="363"/>
      <c r="P350" s="226">
        <v>2</v>
      </c>
      <c r="Q350" s="224" t="s">
        <v>921</v>
      </c>
      <c r="R350" s="227" t="s">
        <v>4</v>
      </c>
      <c r="S350" s="228" t="s">
        <v>14</v>
      </c>
      <c r="T350" s="228" t="s">
        <v>9</v>
      </c>
      <c r="U350" s="229" t="s">
        <v>346</v>
      </c>
      <c r="V350" s="228" t="s">
        <v>19</v>
      </c>
      <c r="W350" s="228" t="s">
        <v>23</v>
      </c>
      <c r="X350" s="228" t="s">
        <v>111</v>
      </c>
      <c r="Y350" s="230">
        <f>IFERROR(IF(AND(R349="Probabilidad",R350="Probabilidad"),(AA349-(+AA349*U350)),IF(R350="Probabilidad",(J349-(+J349*U350)),IF(R350="Impacto",AA349,""))),"")</f>
        <v>0.216</v>
      </c>
      <c r="Z350" s="231" t="s">
        <v>49</v>
      </c>
      <c r="AA350" s="232">
        <v>0.216</v>
      </c>
      <c r="AB350" s="231" t="s">
        <v>800</v>
      </c>
      <c r="AC350" s="232">
        <v>0.2</v>
      </c>
      <c r="AD350" s="233" t="s">
        <v>78</v>
      </c>
      <c r="AE350" s="234"/>
      <c r="AF350" s="239" t="s">
        <v>922</v>
      </c>
      <c r="AG350" s="236" t="s">
        <v>923</v>
      </c>
      <c r="AH350" s="236" t="s">
        <v>377</v>
      </c>
      <c r="AI350" s="236" t="s">
        <v>909</v>
      </c>
      <c r="AJ350" s="236" t="s">
        <v>910</v>
      </c>
      <c r="AK350" s="237">
        <v>44680</v>
      </c>
      <c r="AL350" s="237">
        <v>44926</v>
      </c>
      <c r="AM350" s="351"/>
      <c r="AN350" s="351"/>
    </row>
    <row r="351" spans="1:40">
      <c r="A351" s="342"/>
      <c r="B351" s="345"/>
      <c r="C351" s="345"/>
      <c r="D351" s="345"/>
      <c r="E351" s="345"/>
      <c r="F351" s="348"/>
      <c r="G351" s="345"/>
      <c r="H351" s="351"/>
      <c r="I351" s="354"/>
      <c r="J351" s="357"/>
      <c r="K351" s="360"/>
      <c r="L351" s="357">
        <v>0</v>
      </c>
      <c r="M351" s="354"/>
      <c r="N351" s="357"/>
      <c r="O351" s="363"/>
      <c r="P351" s="226">
        <v>3</v>
      </c>
      <c r="Q351" s="225"/>
      <c r="R351" s="227" t="s">
        <v>361</v>
      </c>
      <c r="S351" s="228"/>
      <c r="T351" s="228"/>
      <c r="U351" s="229" t="s">
        <v>361</v>
      </c>
      <c r="V351" s="228"/>
      <c r="W351" s="228"/>
      <c r="X351" s="228"/>
      <c r="Y351" s="230" t="str">
        <f>IFERROR(IF(AND(R350="Probabilidad",R351="Probabilidad"),(AA350-(+AA350*U351)),IF(AND(R350="Impacto",R351="Probabilidad"),(AA349-(+AA349*U351)),IF(R351="Impacto",AA350,""))),"")</f>
        <v/>
      </c>
      <c r="Z351" s="231" t="s">
        <v>361</v>
      </c>
      <c r="AA351" s="232" t="s">
        <v>361</v>
      </c>
      <c r="AB351" s="231" t="s">
        <v>361</v>
      </c>
      <c r="AC351" s="232" t="s">
        <v>361</v>
      </c>
      <c r="AD351" s="233" t="s">
        <v>361</v>
      </c>
      <c r="AE351" s="234"/>
      <c r="AF351" s="235"/>
      <c r="AG351" s="236"/>
      <c r="AH351" s="236"/>
      <c r="AI351" s="236"/>
      <c r="AJ351" s="236"/>
      <c r="AK351" s="237"/>
      <c r="AL351" s="237"/>
      <c r="AM351" s="351"/>
      <c r="AN351" s="351"/>
    </row>
    <row r="352" spans="1:40">
      <c r="A352" s="342"/>
      <c r="B352" s="345"/>
      <c r="C352" s="345"/>
      <c r="D352" s="345"/>
      <c r="E352" s="345"/>
      <c r="F352" s="348"/>
      <c r="G352" s="345"/>
      <c r="H352" s="351"/>
      <c r="I352" s="354"/>
      <c r="J352" s="357"/>
      <c r="K352" s="360"/>
      <c r="L352" s="357">
        <v>0</v>
      </c>
      <c r="M352" s="354"/>
      <c r="N352" s="357"/>
      <c r="O352" s="363"/>
      <c r="P352" s="226">
        <v>4</v>
      </c>
      <c r="Q352" s="224"/>
      <c r="R352" s="227" t="s">
        <v>361</v>
      </c>
      <c r="S352" s="228"/>
      <c r="T352" s="228"/>
      <c r="U352" s="229" t="s">
        <v>361</v>
      </c>
      <c r="V352" s="228"/>
      <c r="W352" s="228"/>
      <c r="X352" s="228"/>
      <c r="Y352" s="230" t="str">
        <f t="shared" ref="Y352:Y354" si="130">IFERROR(IF(AND(R351="Probabilidad",R352="Probabilidad"),(AA351-(+AA351*U352)),IF(AND(R351="Impacto",R352="Probabilidad"),(AA350-(+AA350*U352)),IF(R352="Impacto",AA351,""))),"")</f>
        <v/>
      </c>
      <c r="Z352" s="231" t="s">
        <v>361</v>
      </c>
      <c r="AA352" s="232" t="s">
        <v>361</v>
      </c>
      <c r="AB352" s="231" t="s">
        <v>361</v>
      </c>
      <c r="AC352" s="232" t="s">
        <v>361</v>
      </c>
      <c r="AD352" s="233" t="s">
        <v>361</v>
      </c>
      <c r="AE352" s="234"/>
      <c r="AF352" s="235"/>
      <c r="AG352" s="236"/>
      <c r="AH352" s="236"/>
      <c r="AI352" s="236"/>
      <c r="AJ352" s="236"/>
      <c r="AK352" s="237"/>
      <c r="AL352" s="237"/>
      <c r="AM352" s="351"/>
      <c r="AN352" s="351"/>
    </row>
    <row r="353" spans="1:40">
      <c r="A353" s="342"/>
      <c r="B353" s="345"/>
      <c r="C353" s="345"/>
      <c r="D353" s="345"/>
      <c r="E353" s="345"/>
      <c r="F353" s="348"/>
      <c r="G353" s="345"/>
      <c r="H353" s="351"/>
      <c r="I353" s="354"/>
      <c r="J353" s="357"/>
      <c r="K353" s="360"/>
      <c r="L353" s="357">
        <v>0</v>
      </c>
      <c r="M353" s="354"/>
      <c r="N353" s="357"/>
      <c r="O353" s="363"/>
      <c r="P353" s="226">
        <v>5</v>
      </c>
      <c r="Q353" s="224"/>
      <c r="R353" s="227" t="s">
        <v>361</v>
      </c>
      <c r="S353" s="228"/>
      <c r="T353" s="228"/>
      <c r="U353" s="229" t="s">
        <v>361</v>
      </c>
      <c r="V353" s="228"/>
      <c r="W353" s="228"/>
      <c r="X353" s="228"/>
      <c r="Y353" s="230" t="str">
        <f t="shared" si="130"/>
        <v/>
      </c>
      <c r="Z353" s="231" t="s">
        <v>361</v>
      </c>
      <c r="AA353" s="232" t="s">
        <v>361</v>
      </c>
      <c r="AB353" s="231" t="s">
        <v>361</v>
      </c>
      <c r="AC353" s="232" t="s">
        <v>361</v>
      </c>
      <c r="AD353" s="233" t="s">
        <v>361</v>
      </c>
      <c r="AE353" s="234"/>
      <c r="AF353" s="235"/>
      <c r="AG353" s="236"/>
      <c r="AH353" s="236"/>
      <c r="AI353" s="236"/>
      <c r="AJ353" s="236"/>
      <c r="AK353" s="237"/>
      <c r="AL353" s="237"/>
      <c r="AM353" s="351"/>
      <c r="AN353" s="351"/>
    </row>
    <row r="354" spans="1:40">
      <c r="A354" s="343"/>
      <c r="B354" s="346"/>
      <c r="C354" s="346"/>
      <c r="D354" s="346"/>
      <c r="E354" s="346"/>
      <c r="F354" s="349"/>
      <c r="G354" s="346"/>
      <c r="H354" s="352"/>
      <c r="I354" s="355"/>
      <c r="J354" s="358"/>
      <c r="K354" s="361"/>
      <c r="L354" s="358">
        <v>0</v>
      </c>
      <c r="M354" s="355"/>
      <c r="N354" s="358"/>
      <c r="O354" s="364"/>
      <c r="P354" s="226">
        <v>6</v>
      </c>
      <c r="Q354" s="224"/>
      <c r="R354" s="227" t="s">
        <v>361</v>
      </c>
      <c r="S354" s="228"/>
      <c r="T354" s="228"/>
      <c r="U354" s="229" t="s">
        <v>361</v>
      </c>
      <c r="V354" s="228"/>
      <c r="W354" s="228"/>
      <c r="X354" s="228"/>
      <c r="Y354" s="230" t="str">
        <f t="shared" si="130"/>
        <v/>
      </c>
      <c r="Z354" s="231" t="s">
        <v>361</v>
      </c>
      <c r="AA354" s="232" t="s">
        <v>361</v>
      </c>
      <c r="AB354" s="231" t="s">
        <v>361</v>
      </c>
      <c r="AC354" s="232" t="s">
        <v>361</v>
      </c>
      <c r="AD354" s="233" t="s">
        <v>361</v>
      </c>
      <c r="AE354" s="234"/>
      <c r="AF354" s="235"/>
      <c r="AG354" s="236"/>
      <c r="AH354" s="236"/>
      <c r="AI354" s="236"/>
      <c r="AJ354" s="236"/>
      <c r="AK354" s="237"/>
      <c r="AL354" s="237"/>
      <c r="AM354" s="352"/>
      <c r="AN354" s="352"/>
    </row>
    <row r="355" spans="1:40" ht="108">
      <c r="A355" s="341">
        <v>58</v>
      </c>
      <c r="B355" s="344" t="s">
        <v>215</v>
      </c>
      <c r="C355" s="344" t="s">
        <v>123</v>
      </c>
      <c r="D355" s="344" t="s">
        <v>924</v>
      </c>
      <c r="E355" s="344" t="s">
        <v>925</v>
      </c>
      <c r="F355" s="347" t="s">
        <v>926</v>
      </c>
      <c r="G355" s="344" t="s">
        <v>115</v>
      </c>
      <c r="H355" s="350">
        <v>78</v>
      </c>
      <c r="I355" s="353" t="s">
        <v>99</v>
      </c>
      <c r="J355" s="356">
        <v>0.6</v>
      </c>
      <c r="K355" s="359" t="s">
        <v>142</v>
      </c>
      <c r="L355" s="356" t="s">
        <v>142</v>
      </c>
      <c r="M355" s="353" t="s">
        <v>77</v>
      </c>
      <c r="N355" s="356">
        <v>0.6</v>
      </c>
      <c r="O355" s="362" t="s">
        <v>77</v>
      </c>
      <c r="P355" s="226">
        <v>1</v>
      </c>
      <c r="Q355" s="224" t="s">
        <v>927</v>
      </c>
      <c r="R355" s="227" t="s">
        <v>4</v>
      </c>
      <c r="S355" s="228" t="s">
        <v>14</v>
      </c>
      <c r="T355" s="228" t="s">
        <v>9</v>
      </c>
      <c r="U355" s="229" t="s">
        <v>346</v>
      </c>
      <c r="V355" s="228" t="s">
        <v>19</v>
      </c>
      <c r="W355" s="228" t="s">
        <v>22</v>
      </c>
      <c r="X355" s="228" t="s">
        <v>111</v>
      </c>
      <c r="Y355" s="230">
        <f>IFERROR(IF(R355="Probabilidad",(J355-(+J355*U355)),IF(R355="Impacto",J355,"")),"")</f>
        <v>0.36</v>
      </c>
      <c r="Z355" s="231" t="s">
        <v>49</v>
      </c>
      <c r="AA355" s="232">
        <v>0.36</v>
      </c>
      <c r="AB355" s="231" t="s">
        <v>77</v>
      </c>
      <c r="AC355" s="232">
        <v>0.6</v>
      </c>
      <c r="AD355" s="233" t="s">
        <v>77</v>
      </c>
      <c r="AE355" s="234"/>
      <c r="AF355" s="235" t="s">
        <v>928</v>
      </c>
      <c r="AG355" s="236" t="s">
        <v>929</v>
      </c>
      <c r="AH355" s="236" t="s">
        <v>930</v>
      </c>
      <c r="AI355" s="236" t="s">
        <v>931</v>
      </c>
      <c r="AJ355" s="236" t="s">
        <v>932</v>
      </c>
      <c r="AK355" s="237" t="s">
        <v>933</v>
      </c>
      <c r="AL355" s="237">
        <v>44926</v>
      </c>
      <c r="AM355" s="344" t="s">
        <v>934</v>
      </c>
      <c r="AN355" s="350"/>
    </row>
    <row r="356" spans="1:40" ht="54">
      <c r="A356" s="342"/>
      <c r="B356" s="345"/>
      <c r="C356" s="345"/>
      <c r="D356" s="345"/>
      <c r="E356" s="345"/>
      <c r="F356" s="348"/>
      <c r="G356" s="345"/>
      <c r="H356" s="351"/>
      <c r="I356" s="354"/>
      <c r="J356" s="357"/>
      <c r="K356" s="360"/>
      <c r="L356" s="357">
        <v>0</v>
      </c>
      <c r="M356" s="354"/>
      <c r="N356" s="357"/>
      <c r="O356" s="363"/>
      <c r="P356" s="226">
        <v>2</v>
      </c>
      <c r="Q356" s="224" t="s">
        <v>935</v>
      </c>
      <c r="R356" s="227" t="s">
        <v>4</v>
      </c>
      <c r="S356" s="228" t="s">
        <v>14</v>
      </c>
      <c r="T356" s="228" t="s">
        <v>9</v>
      </c>
      <c r="U356" s="229" t="s">
        <v>346</v>
      </c>
      <c r="V356" s="228" t="s">
        <v>19</v>
      </c>
      <c r="W356" s="228" t="s">
        <v>22</v>
      </c>
      <c r="X356" s="228" t="s">
        <v>111</v>
      </c>
      <c r="Y356" s="230">
        <f>IFERROR(IF(AND(R355="Probabilidad",R356="Probabilidad"),(AA355-(+AA355*U356)),IF(R356="Probabilidad",(J355-(+J355*U356)),IF(R356="Impacto",AA355,""))),"")</f>
        <v>0.216</v>
      </c>
      <c r="Z356" s="231" t="s">
        <v>49</v>
      </c>
      <c r="AA356" s="232">
        <v>0.216</v>
      </c>
      <c r="AB356" s="231" t="s">
        <v>77</v>
      </c>
      <c r="AC356" s="232">
        <v>0.6</v>
      </c>
      <c r="AD356" s="233" t="s">
        <v>77</v>
      </c>
      <c r="AE356" s="234"/>
      <c r="AF356" s="235" t="s">
        <v>936</v>
      </c>
      <c r="AG356" s="236" t="s">
        <v>929</v>
      </c>
      <c r="AH356" s="236" t="s">
        <v>937</v>
      </c>
      <c r="AI356" s="236" t="s">
        <v>931</v>
      </c>
      <c r="AJ356" s="236" t="s">
        <v>932</v>
      </c>
      <c r="AK356" s="237" t="s">
        <v>933</v>
      </c>
      <c r="AL356" s="237">
        <v>44926</v>
      </c>
      <c r="AM356" s="351"/>
      <c r="AN356" s="351"/>
    </row>
    <row r="357" spans="1:40">
      <c r="A357" s="342"/>
      <c r="B357" s="345"/>
      <c r="C357" s="345"/>
      <c r="D357" s="345"/>
      <c r="E357" s="345"/>
      <c r="F357" s="348"/>
      <c r="G357" s="345"/>
      <c r="H357" s="351"/>
      <c r="I357" s="354"/>
      <c r="J357" s="357"/>
      <c r="K357" s="360"/>
      <c r="L357" s="357">
        <v>0</v>
      </c>
      <c r="M357" s="354"/>
      <c r="N357" s="357"/>
      <c r="O357" s="363"/>
      <c r="P357" s="226">
        <v>3</v>
      </c>
      <c r="Q357" s="225"/>
      <c r="R357" s="227" t="s">
        <v>361</v>
      </c>
      <c r="S357" s="228"/>
      <c r="T357" s="228"/>
      <c r="U357" s="229" t="s">
        <v>361</v>
      </c>
      <c r="V357" s="228"/>
      <c r="W357" s="228"/>
      <c r="X357" s="228"/>
      <c r="Y357" s="230" t="str">
        <f>IFERROR(IF(AND(R356="Probabilidad",R357="Probabilidad"),(AA356-(+AA356*U357)),IF(AND(R356="Impacto",R357="Probabilidad"),(AA355-(+AA355*U357)),IF(R357="Impacto",AA356,""))),"")</f>
        <v/>
      </c>
      <c r="Z357" s="231" t="s">
        <v>361</v>
      </c>
      <c r="AA357" s="232" t="s">
        <v>361</v>
      </c>
      <c r="AB357" s="231" t="s">
        <v>361</v>
      </c>
      <c r="AC357" s="232" t="s">
        <v>361</v>
      </c>
      <c r="AD357" s="233" t="s">
        <v>361</v>
      </c>
      <c r="AE357" s="234"/>
      <c r="AF357" s="235"/>
      <c r="AG357" s="236"/>
      <c r="AH357" s="236"/>
      <c r="AI357" s="236"/>
      <c r="AJ357" s="236"/>
      <c r="AK357" s="237"/>
      <c r="AL357" s="237"/>
      <c r="AM357" s="351"/>
      <c r="AN357" s="351"/>
    </row>
    <row r="358" spans="1:40">
      <c r="A358" s="342"/>
      <c r="B358" s="345"/>
      <c r="C358" s="345"/>
      <c r="D358" s="345"/>
      <c r="E358" s="345"/>
      <c r="F358" s="348"/>
      <c r="G358" s="345"/>
      <c r="H358" s="351"/>
      <c r="I358" s="354"/>
      <c r="J358" s="357"/>
      <c r="K358" s="360"/>
      <c r="L358" s="357">
        <v>0</v>
      </c>
      <c r="M358" s="354"/>
      <c r="N358" s="357"/>
      <c r="O358" s="363"/>
      <c r="P358" s="226">
        <v>4</v>
      </c>
      <c r="Q358" s="224"/>
      <c r="R358" s="227" t="s">
        <v>361</v>
      </c>
      <c r="S358" s="228"/>
      <c r="T358" s="228"/>
      <c r="U358" s="229" t="s">
        <v>361</v>
      </c>
      <c r="V358" s="228"/>
      <c r="W358" s="228"/>
      <c r="X358" s="228"/>
      <c r="Y358" s="230" t="str">
        <f t="shared" ref="Y358:Y360" si="131">IFERROR(IF(AND(R357="Probabilidad",R358="Probabilidad"),(AA357-(+AA357*U358)),IF(AND(R357="Impacto",R358="Probabilidad"),(AA356-(+AA356*U358)),IF(R358="Impacto",AA357,""))),"")</f>
        <v/>
      </c>
      <c r="Z358" s="231" t="s">
        <v>361</v>
      </c>
      <c r="AA358" s="232" t="s">
        <v>361</v>
      </c>
      <c r="AB358" s="231" t="s">
        <v>361</v>
      </c>
      <c r="AC358" s="232" t="s">
        <v>361</v>
      </c>
      <c r="AD358" s="233" t="s">
        <v>361</v>
      </c>
      <c r="AE358" s="234"/>
      <c r="AF358" s="235"/>
      <c r="AG358" s="236"/>
      <c r="AH358" s="236"/>
      <c r="AI358" s="236"/>
      <c r="AJ358" s="236"/>
      <c r="AK358" s="237"/>
      <c r="AL358" s="237"/>
      <c r="AM358" s="351"/>
      <c r="AN358" s="351"/>
    </row>
    <row r="359" spans="1:40">
      <c r="A359" s="342"/>
      <c r="B359" s="345"/>
      <c r="C359" s="345"/>
      <c r="D359" s="345"/>
      <c r="E359" s="345"/>
      <c r="F359" s="348"/>
      <c r="G359" s="345"/>
      <c r="H359" s="351"/>
      <c r="I359" s="354"/>
      <c r="J359" s="357"/>
      <c r="K359" s="360"/>
      <c r="L359" s="357">
        <v>0</v>
      </c>
      <c r="M359" s="354"/>
      <c r="N359" s="357"/>
      <c r="O359" s="363"/>
      <c r="P359" s="226">
        <v>5</v>
      </c>
      <c r="Q359" s="224"/>
      <c r="R359" s="227" t="s">
        <v>361</v>
      </c>
      <c r="S359" s="228"/>
      <c r="T359" s="228"/>
      <c r="U359" s="229" t="s">
        <v>361</v>
      </c>
      <c r="V359" s="228"/>
      <c r="W359" s="228"/>
      <c r="X359" s="228"/>
      <c r="Y359" s="230" t="str">
        <f t="shared" si="131"/>
        <v/>
      </c>
      <c r="Z359" s="231" t="s">
        <v>361</v>
      </c>
      <c r="AA359" s="232" t="s">
        <v>361</v>
      </c>
      <c r="AB359" s="231" t="s">
        <v>361</v>
      </c>
      <c r="AC359" s="232" t="s">
        <v>361</v>
      </c>
      <c r="AD359" s="233" t="s">
        <v>361</v>
      </c>
      <c r="AE359" s="234"/>
      <c r="AF359" s="235"/>
      <c r="AG359" s="236"/>
      <c r="AH359" s="236"/>
      <c r="AI359" s="236"/>
      <c r="AJ359" s="236"/>
      <c r="AK359" s="237"/>
      <c r="AL359" s="237"/>
      <c r="AM359" s="351"/>
      <c r="AN359" s="351"/>
    </row>
    <row r="360" spans="1:40">
      <c r="A360" s="343"/>
      <c r="B360" s="346"/>
      <c r="C360" s="346"/>
      <c r="D360" s="346"/>
      <c r="E360" s="346"/>
      <c r="F360" s="349"/>
      <c r="G360" s="346"/>
      <c r="H360" s="352"/>
      <c r="I360" s="355"/>
      <c r="J360" s="358"/>
      <c r="K360" s="361"/>
      <c r="L360" s="358">
        <v>0</v>
      </c>
      <c r="M360" s="355"/>
      <c r="N360" s="358"/>
      <c r="O360" s="364"/>
      <c r="P360" s="226">
        <v>6</v>
      </c>
      <c r="Q360" s="224"/>
      <c r="R360" s="227" t="s">
        <v>361</v>
      </c>
      <c r="S360" s="228"/>
      <c r="T360" s="228"/>
      <c r="U360" s="229" t="s">
        <v>361</v>
      </c>
      <c r="V360" s="228"/>
      <c r="W360" s="228"/>
      <c r="X360" s="228"/>
      <c r="Y360" s="230" t="str">
        <f t="shared" si="131"/>
        <v/>
      </c>
      <c r="Z360" s="231" t="s">
        <v>361</v>
      </c>
      <c r="AA360" s="232" t="s">
        <v>361</v>
      </c>
      <c r="AB360" s="231" t="s">
        <v>361</v>
      </c>
      <c r="AC360" s="232" t="s">
        <v>361</v>
      </c>
      <c r="AD360" s="233" t="s">
        <v>361</v>
      </c>
      <c r="AE360" s="234"/>
      <c r="AF360" s="235"/>
      <c r="AG360" s="236"/>
      <c r="AH360" s="236"/>
      <c r="AI360" s="236"/>
      <c r="AJ360" s="236"/>
      <c r="AK360" s="237"/>
      <c r="AL360" s="237"/>
      <c r="AM360" s="352"/>
      <c r="AN360" s="352"/>
    </row>
    <row r="361" spans="1:40" ht="108">
      <c r="A361" s="341">
        <v>59</v>
      </c>
      <c r="B361" s="344" t="s">
        <v>220</v>
      </c>
      <c r="C361" s="344" t="s">
        <v>125</v>
      </c>
      <c r="D361" s="344" t="s">
        <v>938</v>
      </c>
      <c r="E361" s="344" t="s">
        <v>939</v>
      </c>
      <c r="F361" s="347" t="s">
        <v>940</v>
      </c>
      <c r="G361" s="344" t="s">
        <v>120</v>
      </c>
      <c r="H361" s="350">
        <v>1054</v>
      </c>
      <c r="I361" s="353" t="s">
        <v>6</v>
      </c>
      <c r="J361" s="356">
        <v>0.8</v>
      </c>
      <c r="K361" s="359" t="s">
        <v>138</v>
      </c>
      <c r="L361" s="356" t="s">
        <v>138</v>
      </c>
      <c r="M361" s="353" t="s">
        <v>7</v>
      </c>
      <c r="N361" s="356">
        <v>0.8</v>
      </c>
      <c r="O361" s="362" t="s">
        <v>76</v>
      </c>
      <c r="P361" s="226">
        <v>1</v>
      </c>
      <c r="Q361" s="224" t="s">
        <v>941</v>
      </c>
      <c r="R361" s="227" t="s">
        <v>4</v>
      </c>
      <c r="S361" s="228" t="s">
        <v>15</v>
      </c>
      <c r="T361" s="228" t="s">
        <v>9</v>
      </c>
      <c r="U361" s="229" t="s">
        <v>352</v>
      </c>
      <c r="V361" s="228" t="s">
        <v>19</v>
      </c>
      <c r="W361" s="228" t="s">
        <v>22</v>
      </c>
      <c r="X361" s="228" t="s">
        <v>111</v>
      </c>
      <c r="Y361" s="230">
        <f>IFERROR(IF(R361="Probabilidad",(J361-(+J361*U361)),IF(R361="Impacto",J361,"")),"")</f>
        <v>0.56000000000000005</v>
      </c>
      <c r="Z361" s="231" t="s">
        <v>99</v>
      </c>
      <c r="AA361" s="232">
        <v>0.56000000000000005</v>
      </c>
      <c r="AB361" s="231" t="s">
        <v>7</v>
      </c>
      <c r="AC361" s="232">
        <v>0.8</v>
      </c>
      <c r="AD361" s="233" t="s">
        <v>76</v>
      </c>
      <c r="AE361" s="234" t="s">
        <v>257</v>
      </c>
      <c r="AF361" s="235" t="s">
        <v>942</v>
      </c>
      <c r="AG361" s="171" t="s">
        <v>943</v>
      </c>
      <c r="AH361" s="171" t="s">
        <v>311</v>
      </c>
      <c r="AI361" s="171" t="s">
        <v>944</v>
      </c>
      <c r="AJ361" s="171" t="s">
        <v>945</v>
      </c>
      <c r="AK361" s="172">
        <v>44684</v>
      </c>
      <c r="AL361" s="172" t="s">
        <v>433</v>
      </c>
      <c r="AM361" s="350">
        <v>4101</v>
      </c>
      <c r="AN361" s="350"/>
    </row>
    <row r="362" spans="1:40">
      <c r="A362" s="342"/>
      <c r="B362" s="345"/>
      <c r="C362" s="345"/>
      <c r="D362" s="345"/>
      <c r="E362" s="345"/>
      <c r="F362" s="348"/>
      <c r="G362" s="345"/>
      <c r="H362" s="351"/>
      <c r="I362" s="354"/>
      <c r="J362" s="357"/>
      <c r="K362" s="360"/>
      <c r="L362" s="357">
        <v>0</v>
      </c>
      <c r="M362" s="354"/>
      <c r="N362" s="357"/>
      <c r="O362" s="363"/>
      <c r="P362" s="226">
        <v>2</v>
      </c>
      <c r="Q362" s="224"/>
      <c r="R362" s="227" t="s">
        <v>361</v>
      </c>
      <c r="S362" s="228"/>
      <c r="T362" s="228"/>
      <c r="U362" s="229" t="s">
        <v>361</v>
      </c>
      <c r="V362" s="228"/>
      <c r="W362" s="228"/>
      <c r="X362" s="228"/>
      <c r="Y362" s="230" t="str">
        <f>IFERROR(IF(AND(R361="Probabilidad",R362="Probabilidad"),(AA361-(+AA361*U362)),IF(R362="Probabilidad",(J361-(+J361*U362)),IF(R362="Impacto",AA361,""))),"")</f>
        <v/>
      </c>
      <c r="Z362" s="231" t="s">
        <v>361</v>
      </c>
      <c r="AA362" s="232" t="s">
        <v>361</v>
      </c>
      <c r="AB362" s="231" t="s">
        <v>361</v>
      </c>
      <c r="AC362" s="232" t="s">
        <v>361</v>
      </c>
      <c r="AD362" s="233" t="s">
        <v>361</v>
      </c>
      <c r="AE362" s="234"/>
      <c r="AF362" s="234"/>
      <c r="AG362" s="171"/>
      <c r="AH362" s="171"/>
      <c r="AI362" s="171"/>
      <c r="AJ362" s="171"/>
      <c r="AK362" s="172"/>
      <c r="AL362" s="172"/>
      <c r="AM362" s="351"/>
      <c r="AN362" s="351"/>
    </row>
    <row r="363" spans="1:40">
      <c r="A363" s="342"/>
      <c r="B363" s="345"/>
      <c r="C363" s="345"/>
      <c r="D363" s="345"/>
      <c r="E363" s="345"/>
      <c r="F363" s="348"/>
      <c r="G363" s="345"/>
      <c r="H363" s="351"/>
      <c r="I363" s="354"/>
      <c r="J363" s="357"/>
      <c r="K363" s="360"/>
      <c r="L363" s="357">
        <v>0</v>
      </c>
      <c r="M363" s="354"/>
      <c r="N363" s="357"/>
      <c r="O363" s="363"/>
      <c r="P363" s="226">
        <v>3</v>
      </c>
      <c r="Q363" s="224"/>
      <c r="R363" s="227" t="s">
        <v>361</v>
      </c>
      <c r="S363" s="228"/>
      <c r="T363" s="228"/>
      <c r="U363" s="229" t="s">
        <v>361</v>
      </c>
      <c r="V363" s="228"/>
      <c r="W363" s="228"/>
      <c r="X363" s="228"/>
      <c r="Y363" s="230" t="str">
        <f>IFERROR(IF(AND(R362="Probabilidad",R363="Probabilidad"),(AA362-(+AA362*U363)),IF(AND(R362="Impacto",R363="Probabilidad"),(AA361-(+AA361*U363)),IF(R363="Impacto",AA362,""))),"")</f>
        <v/>
      </c>
      <c r="Z363" s="231" t="s">
        <v>361</v>
      </c>
      <c r="AA363" s="232" t="s">
        <v>361</v>
      </c>
      <c r="AB363" s="231" t="s">
        <v>361</v>
      </c>
      <c r="AC363" s="232" t="s">
        <v>361</v>
      </c>
      <c r="AD363" s="233" t="s">
        <v>361</v>
      </c>
      <c r="AE363" s="234"/>
      <c r="AF363" s="234"/>
      <c r="AG363" s="171"/>
      <c r="AH363" s="171"/>
      <c r="AI363" s="171"/>
      <c r="AJ363" s="171"/>
      <c r="AK363" s="172"/>
      <c r="AL363" s="172"/>
      <c r="AM363" s="351"/>
      <c r="AN363" s="351"/>
    </row>
    <row r="364" spans="1:40">
      <c r="A364" s="342"/>
      <c r="B364" s="345"/>
      <c r="C364" s="345"/>
      <c r="D364" s="345"/>
      <c r="E364" s="345"/>
      <c r="F364" s="348"/>
      <c r="G364" s="345"/>
      <c r="H364" s="351"/>
      <c r="I364" s="354"/>
      <c r="J364" s="357"/>
      <c r="K364" s="360"/>
      <c r="L364" s="357">
        <v>0</v>
      </c>
      <c r="M364" s="354"/>
      <c r="N364" s="357"/>
      <c r="O364" s="363"/>
      <c r="P364" s="226">
        <v>4</v>
      </c>
      <c r="Q364" s="224"/>
      <c r="R364" s="227" t="s">
        <v>361</v>
      </c>
      <c r="S364" s="228"/>
      <c r="T364" s="228"/>
      <c r="U364" s="229" t="s">
        <v>361</v>
      </c>
      <c r="V364" s="228"/>
      <c r="W364" s="228"/>
      <c r="X364" s="228"/>
      <c r="Y364" s="230" t="str">
        <f t="shared" ref="Y364:Y366" si="132">IFERROR(IF(AND(R363="Probabilidad",R364="Probabilidad"),(AA363-(+AA363*U364)),IF(AND(R363="Impacto",R364="Probabilidad"),(AA362-(+AA362*U364)),IF(R364="Impacto",AA363,""))),"")</f>
        <v/>
      </c>
      <c r="Z364" s="231" t="s">
        <v>361</v>
      </c>
      <c r="AA364" s="232" t="s">
        <v>361</v>
      </c>
      <c r="AB364" s="231" t="s">
        <v>361</v>
      </c>
      <c r="AC364" s="232" t="s">
        <v>361</v>
      </c>
      <c r="AD364" s="233" t="s">
        <v>361</v>
      </c>
      <c r="AE364" s="234"/>
      <c r="AF364" s="234"/>
      <c r="AG364" s="171"/>
      <c r="AH364" s="171"/>
      <c r="AI364" s="171"/>
      <c r="AJ364" s="171"/>
      <c r="AK364" s="172"/>
      <c r="AL364" s="172"/>
      <c r="AM364" s="351"/>
      <c r="AN364" s="351"/>
    </row>
    <row r="365" spans="1:40">
      <c r="A365" s="342"/>
      <c r="B365" s="345"/>
      <c r="C365" s="345"/>
      <c r="D365" s="345"/>
      <c r="E365" s="345"/>
      <c r="F365" s="348"/>
      <c r="G365" s="345"/>
      <c r="H365" s="351"/>
      <c r="I365" s="354"/>
      <c r="J365" s="357"/>
      <c r="K365" s="360"/>
      <c r="L365" s="357">
        <v>0</v>
      </c>
      <c r="M365" s="354"/>
      <c r="N365" s="357"/>
      <c r="O365" s="363"/>
      <c r="P365" s="226">
        <v>5</v>
      </c>
      <c r="Q365" s="224"/>
      <c r="R365" s="227" t="s">
        <v>361</v>
      </c>
      <c r="S365" s="228"/>
      <c r="T365" s="228"/>
      <c r="U365" s="229" t="s">
        <v>361</v>
      </c>
      <c r="V365" s="228"/>
      <c r="W365" s="228"/>
      <c r="X365" s="228"/>
      <c r="Y365" s="230" t="str">
        <f t="shared" si="132"/>
        <v/>
      </c>
      <c r="Z365" s="231" t="s">
        <v>361</v>
      </c>
      <c r="AA365" s="232" t="s">
        <v>361</v>
      </c>
      <c r="AB365" s="231" t="s">
        <v>361</v>
      </c>
      <c r="AC365" s="232" t="s">
        <v>361</v>
      </c>
      <c r="AD365" s="233" t="s">
        <v>361</v>
      </c>
      <c r="AE365" s="234"/>
      <c r="AF365" s="234"/>
      <c r="AG365" s="171"/>
      <c r="AH365" s="171"/>
      <c r="AI365" s="171"/>
      <c r="AJ365" s="171"/>
      <c r="AK365" s="172"/>
      <c r="AL365" s="172"/>
      <c r="AM365" s="351"/>
      <c r="AN365" s="351"/>
    </row>
    <row r="366" spans="1:40">
      <c r="A366" s="343"/>
      <c r="B366" s="346"/>
      <c r="C366" s="346"/>
      <c r="D366" s="346"/>
      <c r="E366" s="346"/>
      <c r="F366" s="349"/>
      <c r="G366" s="346"/>
      <c r="H366" s="352"/>
      <c r="I366" s="355"/>
      <c r="J366" s="358"/>
      <c r="K366" s="361"/>
      <c r="L366" s="358">
        <v>0</v>
      </c>
      <c r="M366" s="355"/>
      <c r="N366" s="358"/>
      <c r="O366" s="364"/>
      <c r="P366" s="226">
        <v>6</v>
      </c>
      <c r="Q366" s="238"/>
      <c r="R366" s="227" t="s">
        <v>361</v>
      </c>
      <c r="S366" s="228"/>
      <c r="T366" s="228"/>
      <c r="U366" s="229" t="s">
        <v>361</v>
      </c>
      <c r="V366" s="228"/>
      <c r="W366" s="228"/>
      <c r="X366" s="228"/>
      <c r="Y366" s="230" t="str">
        <f t="shared" si="132"/>
        <v/>
      </c>
      <c r="Z366" s="231" t="s">
        <v>361</v>
      </c>
      <c r="AA366" s="232" t="s">
        <v>361</v>
      </c>
      <c r="AB366" s="231" t="s">
        <v>361</v>
      </c>
      <c r="AC366" s="232" t="s">
        <v>361</v>
      </c>
      <c r="AD366" s="233" t="s">
        <v>361</v>
      </c>
      <c r="AE366" s="234"/>
      <c r="AF366" s="234"/>
      <c r="AG366" s="171"/>
      <c r="AH366" s="171"/>
      <c r="AI366" s="171"/>
      <c r="AJ366" s="171"/>
      <c r="AK366" s="172"/>
      <c r="AL366" s="172"/>
      <c r="AM366" s="352"/>
      <c r="AN366" s="352"/>
    </row>
    <row r="367" spans="1:40" ht="81">
      <c r="A367" s="341">
        <v>60</v>
      </c>
      <c r="B367" s="344" t="s">
        <v>220</v>
      </c>
      <c r="C367" s="344" t="s">
        <v>125</v>
      </c>
      <c r="D367" s="344" t="s">
        <v>946</v>
      </c>
      <c r="E367" s="344" t="s">
        <v>947</v>
      </c>
      <c r="F367" s="347" t="s">
        <v>948</v>
      </c>
      <c r="G367" s="344" t="s">
        <v>115</v>
      </c>
      <c r="H367" s="350">
        <v>15</v>
      </c>
      <c r="I367" s="353" t="s">
        <v>49</v>
      </c>
      <c r="J367" s="356">
        <v>0.4</v>
      </c>
      <c r="K367" s="359" t="s">
        <v>143</v>
      </c>
      <c r="L367" s="356" t="s">
        <v>143</v>
      </c>
      <c r="M367" s="353" t="s">
        <v>7</v>
      </c>
      <c r="N367" s="356">
        <v>0.8</v>
      </c>
      <c r="O367" s="362" t="s">
        <v>76</v>
      </c>
      <c r="P367" s="226">
        <v>1</v>
      </c>
      <c r="Q367" s="224" t="s">
        <v>949</v>
      </c>
      <c r="R367" s="227" t="s">
        <v>4</v>
      </c>
      <c r="S367" s="228" t="s">
        <v>14</v>
      </c>
      <c r="T367" s="228" t="s">
        <v>9</v>
      </c>
      <c r="U367" s="229" t="s">
        <v>346</v>
      </c>
      <c r="V367" s="228" t="s">
        <v>19</v>
      </c>
      <c r="W367" s="228" t="s">
        <v>22</v>
      </c>
      <c r="X367" s="228" t="s">
        <v>111</v>
      </c>
      <c r="Y367" s="230">
        <f>IFERROR(IF(R367="Probabilidad",(J367-(+J367*U367)),IF(R367="Impacto",J367,"")),"")</f>
        <v>0.24</v>
      </c>
      <c r="Z367" s="231" t="s">
        <v>49</v>
      </c>
      <c r="AA367" s="232">
        <v>0.24</v>
      </c>
      <c r="AB367" s="231" t="s">
        <v>7</v>
      </c>
      <c r="AC367" s="232">
        <v>0.8</v>
      </c>
      <c r="AD367" s="233" t="s">
        <v>76</v>
      </c>
      <c r="AE367" s="234" t="s">
        <v>257</v>
      </c>
      <c r="AF367" s="235" t="s">
        <v>950</v>
      </c>
      <c r="AG367" s="171" t="s">
        <v>951</v>
      </c>
      <c r="AH367" s="171" t="s">
        <v>952</v>
      </c>
      <c r="AI367" s="171" t="s">
        <v>944</v>
      </c>
      <c r="AJ367" s="171" t="s">
        <v>945</v>
      </c>
      <c r="AK367" s="172">
        <v>44319</v>
      </c>
      <c r="AL367" s="172" t="s">
        <v>953</v>
      </c>
      <c r="AM367" s="350">
        <v>4102</v>
      </c>
      <c r="AN367" s="350"/>
    </row>
    <row r="368" spans="1:40">
      <c r="A368" s="342"/>
      <c r="B368" s="345"/>
      <c r="C368" s="345"/>
      <c r="D368" s="345"/>
      <c r="E368" s="345"/>
      <c r="F368" s="348"/>
      <c r="G368" s="345"/>
      <c r="H368" s="351"/>
      <c r="I368" s="354"/>
      <c r="J368" s="357"/>
      <c r="K368" s="360"/>
      <c r="L368" s="357">
        <v>0</v>
      </c>
      <c r="M368" s="354"/>
      <c r="N368" s="357"/>
      <c r="O368" s="363"/>
      <c r="P368" s="226">
        <v>2</v>
      </c>
      <c r="Q368" s="224"/>
      <c r="R368" s="227" t="s">
        <v>361</v>
      </c>
      <c r="S368" s="228"/>
      <c r="T368" s="228"/>
      <c r="U368" s="229" t="s">
        <v>361</v>
      </c>
      <c r="V368" s="228"/>
      <c r="W368" s="228"/>
      <c r="X368" s="228"/>
      <c r="Y368" s="230" t="str">
        <f>IFERROR(IF(AND(R367="Probabilidad",R368="Probabilidad"),(AA367-(+AA367*U368)),IF(R368="Probabilidad",(J367-(+J367*U368)),IF(R368="Impacto",AA367,""))),"")</f>
        <v/>
      </c>
      <c r="Z368" s="231" t="s">
        <v>361</v>
      </c>
      <c r="AA368" s="232" t="s">
        <v>361</v>
      </c>
      <c r="AB368" s="231" t="s">
        <v>361</v>
      </c>
      <c r="AC368" s="232" t="s">
        <v>361</v>
      </c>
      <c r="AD368" s="233" t="s">
        <v>361</v>
      </c>
      <c r="AE368" s="234"/>
      <c r="AF368" s="234"/>
      <c r="AG368" s="171"/>
      <c r="AH368" s="171"/>
      <c r="AI368" s="171"/>
      <c r="AJ368" s="171"/>
      <c r="AK368" s="172"/>
      <c r="AL368" s="172"/>
      <c r="AM368" s="351"/>
      <c r="AN368" s="351"/>
    </row>
    <row r="369" spans="1:40">
      <c r="A369" s="342"/>
      <c r="B369" s="345"/>
      <c r="C369" s="345"/>
      <c r="D369" s="345"/>
      <c r="E369" s="345"/>
      <c r="F369" s="348"/>
      <c r="G369" s="345"/>
      <c r="H369" s="351"/>
      <c r="I369" s="354"/>
      <c r="J369" s="357"/>
      <c r="K369" s="360"/>
      <c r="L369" s="357">
        <v>0</v>
      </c>
      <c r="M369" s="354"/>
      <c r="N369" s="357"/>
      <c r="O369" s="363"/>
      <c r="P369" s="226">
        <v>3</v>
      </c>
      <c r="Q369" s="225"/>
      <c r="R369" s="227" t="s">
        <v>361</v>
      </c>
      <c r="S369" s="228"/>
      <c r="T369" s="228"/>
      <c r="U369" s="229" t="s">
        <v>361</v>
      </c>
      <c r="V369" s="228"/>
      <c r="W369" s="228"/>
      <c r="X369" s="228"/>
      <c r="Y369" s="230" t="str">
        <f>IFERROR(IF(AND(R368="Probabilidad",R369="Probabilidad"),(AA368-(+AA368*U369)),IF(AND(R368="Impacto",R369="Probabilidad"),(AA367-(+AA367*U369)),IF(R369="Impacto",AA368,""))),"")</f>
        <v/>
      </c>
      <c r="Z369" s="231" t="s">
        <v>361</v>
      </c>
      <c r="AA369" s="232" t="s">
        <v>361</v>
      </c>
      <c r="AB369" s="231" t="s">
        <v>361</v>
      </c>
      <c r="AC369" s="232" t="s">
        <v>361</v>
      </c>
      <c r="AD369" s="233" t="s">
        <v>361</v>
      </c>
      <c r="AE369" s="234"/>
      <c r="AF369" s="234"/>
      <c r="AG369" s="171"/>
      <c r="AH369" s="171"/>
      <c r="AI369" s="171"/>
      <c r="AJ369" s="171"/>
      <c r="AK369" s="172"/>
      <c r="AL369" s="172"/>
      <c r="AM369" s="351"/>
      <c r="AN369" s="351"/>
    </row>
    <row r="370" spans="1:40">
      <c r="A370" s="342"/>
      <c r="B370" s="345"/>
      <c r="C370" s="345"/>
      <c r="D370" s="345"/>
      <c r="E370" s="345"/>
      <c r="F370" s="348"/>
      <c r="G370" s="345"/>
      <c r="H370" s="351"/>
      <c r="I370" s="354"/>
      <c r="J370" s="357"/>
      <c r="K370" s="360"/>
      <c r="L370" s="357">
        <v>0</v>
      </c>
      <c r="M370" s="354"/>
      <c r="N370" s="357"/>
      <c r="O370" s="363"/>
      <c r="P370" s="226">
        <v>4</v>
      </c>
      <c r="Q370" s="224"/>
      <c r="R370" s="227" t="s">
        <v>361</v>
      </c>
      <c r="S370" s="228"/>
      <c r="T370" s="228"/>
      <c r="U370" s="229" t="s">
        <v>361</v>
      </c>
      <c r="V370" s="228"/>
      <c r="W370" s="228"/>
      <c r="X370" s="228"/>
      <c r="Y370" s="230" t="str">
        <f t="shared" ref="Y370:Y372" si="133">IFERROR(IF(AND(R369="Probabilidad",R370="Probabilidad"),(AA369-(+AA369*U370)),IF(AND(R369="Impacto",R370="Probabilidad"),(AA368-(+AA368*U370)),IF(R370="Impacto",AA369,""))),"")</f>
        <v/>
      </c>
      <c r="Z370" s="231" t="s">
        <v>361</v>
      </c>
      <c r="AA370" s="232" t="s">
        <v>361</v>
      </c>
      <c r="AB370" s="231" t="s">
        <v>361</v>
      </c>
      <c r="AC370" s="232" t="s">
        <v>361</v>
      </c>
      <c r="AD370" s="233" t="s">
        <v>361</v>
      </c>
      <c r="AE370" s="234"/>
      <c r="AF370" s="234"/>
      <c r="AG370" s="171"/>
      <c r="AH370" s="171"/>
      <c r="AI370" s="171"/>
      <c r="AJ370" s="171"/>
      <c r="AK370" s="172"/>
      <c r="AL370" s="172"/>
      <c r="AM370" s="351"/>
      <c r="AN370" s="351"/>
    </row>
    <row r="371" spans="1:40">
      <c r="A371" s="342"/>
      <c r="B371" s="345"/>
      <c r="C371" s="345"/>
      <c r="D371" s="345"/>
      <c r="E371" s="345"/>
      <c r="F371" s="348"/>
      <c r="G371" s="345"/>
      <c r="H371" s="351"/>
      <c r="I371" s="354"/>
      <c r="J371" s="357"/>
      <c r="K371" s="360"/>
      <c r="L371" s="357">
        <v>0</v>
      </c>
      <c r="M371" s="354"/>
      <c r="N371" s="357"/>
      <c r="O371" s="363"/>
      <c r="P371" s="226">
        <v>5</v>
      </c>
      <c r="Q371" s="224"/>
      <c r="R371" s="227" t="s">
        <v>361</v>
      </c>
      <c r="S371" s="228"/>
      <c r="T371" s="228"/>
      <c r="U371" s="229" t="s">
        <v>361</v>
      </c>
      <c r="V371" s="228"/>
      <c r="W371" s="228"/>
      <c r="X371" s="228"/>
      <c r="Y371" s="230" t="str">
        <f t="shared" si="133"/>
        <v/>
      </c>
      <c r="Z371" s="231" t="s">
        <v>361</v>
      </c>
      <c r="AA371" s="232" t="s">
        <v>361</v>
      </c>
      <c r="AB371" s="231" t="s">
        <v>361</v>
      </c>
      <c r="AC371" s="232" t="s">
        <v>361</v>
      </c>
      <c r="AD371" s="233" t="s">
        <v>361</v>
      </c>
      <c r="AE371" s="234"/>
      <c r="AF371" s="234"/>
      <c r="AG371" s="171"/>
      <c r="AH371" s="171"/>
      <c r="AI371" s="171"/>
      <c r="AJ371" s="171"/>
      <c r="AK371" s="172"/>
      <c r="AL371" s="172"/>
      <c r="AM371" s="351"/>
      <c r="AN371" s="351"/>
    </row>
    <row r="372" spans="1:40">
      <c r="A372" s="343"/>
      <c r="B372" s="346"/>
      <c r="C372" s="346"/>
      <c r="D372" s="346"/>
      <c r="E372" s="346"/>
      <c r="F372" s="349"/>
      <c r="G372" s="346"/>
      <c r="H372" s="352"/>
      <c r="I372" s="355"/>
      <c r="J372" s="358"/>
      <c r="K372" s="361"/>
      <c r="L372" s="358">
        <v>0</v>
      </c>
      <c r="M372" s="355"/>
      <c r="N372" s="358"/>
      <c r="O372" s="364"/>
      <c r="P372" s="226">
        <v>6</v>
      </c>
      <c r="Q372" s="224"/>
      <c r="R372" s="227" t="s">
        <v>361</v>
      </c>
      <c r="S372" s="228"/>
      <c r="T372" s="228"/>
      <c r="U372" s="229" t="s">
        <v>361</v>
      </c>
      <c r="V372" s="228"/>
      <c r="W372" s="228"/>
      <c r="X372" s="228"/>
      <c r="Y372" s="230" t="str">
        <f t="shared" si="133"/>
        <v/>
      </c>
      <c r="Z372" s="231" t="s">
        <v>361</v>
      </c>
      <c r="AA372" s="232" t="s">
        <v>361</v>
      </c>
      <c r="AB372" s="231" t="s">
        <v>361</v>
      </c>
      <c r="AC372" s="232" t="s">
        <v>361</v>
      </c>
      <c r="AD372" s="233" t="s">
        <v>361</v>
      </c>
      <c r="AE372" s="234"/>
      <c r="AF372" s="234"/>
      <c r="AG372" s="171"/>
      <c r="AH372" s="171"/>
      <c r="AI372" s="171"/>
      <c r="AJ372" s="171"/>
      <c r="AK372" s="172"/>
      <c r="AL372" s="172"/>
      <c r="AM372" s="352"/>
      <c r="AN372" s="352"/>
    </row>
    <row r="373" spans="1:40" ht="67.5">
      <c r="A373" s="341">
        <v>61</v>
      </c>
      <c r="B373" s="344" t="s">
        <v>216</v>
      </c>
      <c r="C373" s="344" t="s">
        <v>124</v>
      </c>
      <c r="D373" s="344" t="s">
        <v>954</v>
      </c>
      <c r="E373" s="344" t="s">
        <v>955</v>
      </c>
      <c r="F373" s="347" t="s">
        <v>956</v>
      </c>
      <c r="G373" s="344" t="s">
        <v>115</v>
      </c>
      <c r="H373" s="350">
        <v>5001</v>
      </c>
      <c r="I373" s="353" t="s">
        <v>50</v>
      </c>
      <c r="J373" s="356">
        <v>1</v>
      </c>
      <c r="K373" s="359" t="s">
        <v>139</v>
      </c>
      <c r="L373" s="356" t="s">
        <v>139</v>
      </c>
      <c r="M373" s="353" t="s">
        <v>81</v>
      </c>
      <c r="N373" s="356">
        <v>1</v>
      </c>
      <c r="O373" s="362" t="s">
        <v>75</v>
      </c>
      <c r="P373" s="226">
        <v>1</v>
      </c>
      <c r="Q373" s="224" t="s">
        <v>957</v>
      </c>
      <c r="R373" s="227" t="s">
        <v>4</v>
      </c>
      <c r="S373" s="171" t="s">
        <v>14</v>
      </c>
      <c r="T373" s="171" t="s">
        <v>9</v>
      </c>
      <c r="U373" s="229" t="s">
        <v>346</v>
      </c>
      <c r="V373" s="171" t="s">
        <v>19</v>
      </c>
      <c r="W373" s="171" t="s">
        <v>22</v>
      </c>
      <c r="X373" s="171" t="s">
        <v>111</v>
      </c>
      <c r="Y373" s="230">
        <f>IFERROR(IF(R373="Probabilidad",(J373-(+J373*U373)),IF(R373="Impacto",J373,"")),"")</f>
        <v>0.6</v>
      </c>
      <c r="Z373" s="231" t="s">
        <v>99</v>
      </c>
      <c r="AA373" s="232">
        <v>0.6</v>
      </c>
      <c r="AB373" s="231" t="s">
        <v>81</v>
      </c>
      <c r="AC373" s="232">
        <v>1</v>
      </c>
      <c r="AD373" s="233" t="s">
        <v>75</v>
      </c>
      <c r="AE373" s="234" t="s">
        <v>257</v>
      </c>
      <c r="AF373" s="235" t="s">
        <v>958</v>
      </c>
      <c r="AG373" s="236" t="s">
        <v>959</v>
      </c>
      <c r="AH373" s="236" t="s">
        <v>960</v>
      </c>
      <c r="AI373" s="236" t="s">
        <v>961</v>
      </c>
      <c r="AJ373" s="236" t="s">
        <v>962</v>
      </c>
      <c r="AK373" s="237">
        <v>44681</v>
      </c>
      <c r="AL373" s="237">
        <v>44926</v>
      </c>
      <c r="AM373" s="350">
        <v>4070</v>
      </c>
      <c r="AN373" s="350"/>
    </row>
    <row r="374" spans="1:40" ht="54">
      <c r="A374" s="342"/>
      <c r="B374" s="345"/>
      <c r="C374" s="345"/>
      <c r="D374" s="345"/>
      <c r="E374" s="345"/>
      <c r="F374" s="348"/>
      <c r="G374" s="345"/>
      <c r="H374" s="351"/>
      <c r="I374" s="354"/>
      <c r="J374" s="357"/>
      <c r="K374" s="360"/>
      <c r="L374" s="357">
        <v>0</v>
      </c>
      <c r="M374" s="354"/>
      <c r="N374" s="357"/>
      <c r="O374" s="363"/>
      <c r="P374" s="226">
        <v>2</v>
      </c>
      <c r="Q374" s="224" t="s">
        <v>963</v>
      </c>
      <c r="R374" s="227" t="s">
        <v>2</v>
      </c>
      <c r="S374" s="228" t="s">
        <v>16</v>
      </c>
      <c r="T374" s="228" t="s">
        <v>9</v>
      </c>
      <c r="U374" s="229" t="s">
        <v>359</v>
      </c>
      <c r="V374" s="228" t="s">
        <v>19</v>
      </c>
      <c r="W374" s="228" t="s">
        <v>22</v>
      </c>
      <c r="X374" s="228" t="s">
        <v>111</v>
      </c>
      <c r="Y374" s="230">
        <f>IFERROR(IF(AND(R373="Probabilidad",R374="Probabilidad"),(AA373-(+AA373*U374)),IF(R374="Probabilidad",(J373-(+J373*U374)),IF(R374="Impacto",AA373,""))),"")</f>
        <v>0.6</v>
      </c>
      <c r="Z374" s="231" t="s">
        <v>99</v>
      </c>
      <c r="AA374" s="232">
        <v>0.6</v>
      </c>
      <c r="AB374" s="231" t="s">
        <v>7</v>
      </c>
      <c r="AC374" s="232">
        <v>0.75</v>
      </c>
      <c r="AD374" s="233" t="s">
        <v>76</v>
      </c>
      <c r="AE374" s="234" t="s">
        <v>257</v>
      </c>
      <c r="AF374" s="235" t="s">
        <v>964</v>
      </c>
      <c r="AG374" s="236" t="s">
        <v>965</v>
      </c>
      <c r="AH374" s="236" t="s">
        <v>960</v>
      </c>
      <c r="AI374" s="236" t="s">
        <v>966</v>
      </c>
      <c r="AJ374" s="236" t="s">
        <v>962</v>
      </c>
      <c r="AK374" s="237">
        <v>44681</v>
      </c>
      <c r="AL374" s="237">
        <v>44926</v>
      </c>
      <c r="AM374" s="351"/>
      <c r="AN374" s="351"/>
    </row>
    <row r="375" spans="1:40" ht="67.5">
      <c r="A375" s="342"/>
      <c r="B375" s="345"/>
      <c r="C375" s="345"/>
      <c r="D375" s="345"/>
      <c r="E375" s="345"/>
      <c r="F375" s="348"/>
      <c r="G375" s="345"/>
      <c r="H375" s="351"/>
      <c r="I375" s="354"/>
      <c r="J375" s="357"/>
      <c r="K375" s="360"/>
      <c r="L375" s="357">
        <v>0</v>
      </c>
      <c r="M375" s="354"/>
      <c r="N375" s="357"/>
      <c r="O375" s="363"/>
      <c r="P375" s="226">
        <v>3</v>
      </c>
      <c r="Q375" s="224" t="s">
        <v>967</v>
      </c>
      <c r="R375" s="227" t="s">
        <v>4</v>
      </c>
      <c r="S375" s="228" t="s">
        <v>15</v>
      </c>
      <c r="T375" s="228" t="s">
        <v>9</v>
      </c>
      <c r="U375" s="229" t="s">
        <v>352</v>
      </c>
      <c r="V375" s="228" t="s">
        <v>19</v>
      </c>
      <c r="W375" s="228" t="s">
        <v>22</v>
      </c>
      <c r="X375" s="228" t="s">
        <v>111</v>
      </c>
      <c r="Y375" s="230">
        <f>IFERROR(IF(AND(R374="Probabilidad",R375="Probabilidad"),(AA374-(+AA374*U375)),IF(AND(R374="Impacto",R375="Probabilidad"),(AA373-(+AA373*U375)),IF(R375="Impacto",AA374,""))),"")</f>
        <v>0.42</v>
      </c>
      <c r="Z375" s="231" t="s">
        <v>99</v>
      </c>
      <c r="AA375" s="232">
        <v>0.42</v>
      </c>
      <c r="AB375" s="231" t="s">
        <v>7</v>
      </c>
      <c r="AC375" s="232">
        <v>0.75</v>
      </c>
      <c r="AD375" s="233" t="s">
        <v>76</v>
      </c>
      <c r="AE375" s="234" t="s">
        <v>257</v>
      </c>
      <c r="AF375" s="235" t="s">
        <v>964</v>
      </c>
      <c r="AG375" s="236" t="s">
        <v>965</v>
      </c>
      <c r="AH375" s="236" t="s">
        <v>960</v>
      </c>
      <c r="AI375" s="236" t="s">
        <v>966</v>
      </c>
      <c r="AJ375" s="236" t="s">
        <v>962</v>
      </c>
      <c r="AK375" s="237">
        <v>44681</v>
      </c>
      <c r="AL375" s="237">
        <v>44926</v>
      </c>
      <c r="AM375" s="351"/>
      <c r="AN375" s="351"/>
    </row>
    <row r="376" spans="1:40">
      <c r="A376" s="342"/>
      <c r="B376" s="345"/>
      <c r="C376" s="345"/>
      <c r="D376" s="345"/>
      <c r="E376" s="345"/>
      <c r="F376" s="348"/>
      <c r="G376" s="345"/>
      <c r="H376" s="351"/>
      <c r="I376" s="354"/>
      <c r="J376" s="357"/>
      <c r="K376" s="360"/>
      <c r="L376" s="357">
        <v>0</v>
      </c>
      <c r="M376" s="354"/>
      <c r="N376" s="357"/>
      <c r="O376" s="363"/>
      <c r="P376" s="226">
        <v>4</v>
      </c>
      <c r="Q376" s="224"/>
      <c r="R376" s="227" t="s">
        <v>361</v>
      </c>
      <c r="S376" s="228"/>
      <c r="T376" s="228"/>
      <c r="U376" s="229"/>
      <c r="V376" s="228"/>
      <c r="W376" s="228"/>
      <c r="X376" s="228"/>
      <c r="Y376" s="230" t="str">
        <f t="shared" ref="Y376:Y378" si="134">IFERROR(IF(AND(R375="Probabilidad",R376="Probabilidad"),(AA375-(+AA375*U376)),IF(AND(R375="Impacto",R376="Probabilidad"),(AA374-(+AA374*U376)),IF(R376="Impacto",AA375,""))),"")</f>
        <v/>
      </c>
      <c r="Z376" s="231" t="s">
        <v>361</v>
      </c>
      <c r="AA376" s="232" t="s">
        <v>361</v>
      </c>
      <c r="AB376" s="231" t="s">
        <v>361</v>
      </c>
      <c r="AC376" s="232" t="s">
        <v>361</v>
      </c>
      <c r="AD376" s="233" t="s">
        <v>361</v>
      </c>
      <c r="AE376" s="234"/>
      <c r="AF376" s="235"/>
      <c r="AG376" s="236"/>
      <c r="AH376" s="236"/>
      <c r="AI376" s="236"/>
      <c r="AJ376" s="236"/>
      <c r="AK376" s="237"/>
      <c r="AL376" s="237"/>
      <c r="AM376" s="351"/>
      <c r="AN376" s="351"/>
    </row>
    <row r="377" spans="1:40">
      <c r="A377" s="342"/>
      <c r="B377" s="345"/>
      <c r="C377" s="345"/>
      <c r="D377" s="345"/>
      <c r="E377" s="345"/>
      <c r="F377" s="348"/>
      <c r="G377" s="345"/>
      <c r="H377" s="351"/>
      <c r="I377" s="354"/>
      <c r="J377" s="357"/>
      <c r="K377" s="360"/>
      <c r="L377" s="357">
        <v>0</v>
      </c>
      <c r="M377" s="354"/>
      <c r="N377" s="357"/>
      <c r="O377" s="363"/>
      <c r="P377" s="226">
        <v>5</v>
      </c>
      <c r="Q377" s="224"/>
      <c r="R377" s="227" t="s">
        <v>361</v>
      </c>
      <c r="S377" s="228"/>
      <c r="T377" s="228"/>
      <c r="U377" s="229"/>
      <c r="V377" s="228"/>
      <c r="W377" s="228"/>
      <c r="X377" s="228"/>
      <c r="Y377" s="230" t="str">
        <f t="shared" si="134"/>
        <v/>
      </c>
      <c r="Z377" s="231" t="s">
        <v>361</v>
      </c>
      <c r="AA377" s="232" t="s">
        <v>361</v>
      </c>
      <c r="AB377" s="231" t="s">
        <v>361</v>
      </c>
      <c r="AC377" s="232" t="s">
        <v>361</v>
      </c>
      <c r="AD377" s="233" t="s">
        <v>361</v>
      </c>
      <c r="AE377" s="234"/>
      <c r="AF377" s="235"/>
      <c r="AG377" s="236"/>
      <c r="AH377" s="236"/>
      <c r="AI377" s="236"/>
      <c r="AJ377" s="236"/>
      <c r="AK377" s="237"/>
      <c r="AL377" s="237"/>
      <c r="AM377" s="351"/>
      <c r="AN377" s="351"/>
    </row>
    <row r="378" spans="1:40">
      <c r="A378" s="343"/>
      <c r="B378" s="346"/>
      <c r="C378" s="346"/>
      <c r="D378" s="346"/>
      <c r="E378" s="346"/>
      <c r="F378" s="349"/>
      <c r="G378" s="346"/>
      <c r="H378" s="352"/>
      <c r="I378" s="355"/>
      <c r="J378" s="358"/>
      <c r="K378" s="361"/>
      <c r="L378" s="358">
        <v>0</v>
      </c>
      <c r="M378" s="355"/>
      <c r="N378" s="358"/>
      <c r="O378" s="364"/>
      <c r="P378" s="226">
        <v>6</v>
      </c>
      <c r="Q378" s="224"/>
      <c r="R378" s="227" t="s">
        <v>361</v>
      </c>
      <c r="S378" s="228"/>
      <c r="T378" s="228"/>
      <c r="U378" s="229"/>
      <c r="V378" s="228"/>
      <c r="W378" s="228"/>
      <c r="X378" s="228"/>
      <c r="Y378" s="230" t="str">
        <f t="shared" si="134"/>
        <v/>
      </c>
      <c r="Z378" s="231" t="s">
        <v>361</v>
      </c>
      <c r="AA378" s="232" t="s">
        <v>361</v>
      </c>
      <c r="AB378" s="231" t="s">
        <v>361</v>
      </c>
      <c r="AC378" s="232" t="s">
        <v>361</v>
      </c>
      <c r="AD378" s="233" t="s">
        <v>361</v>
      </c>
      <c r="AE378" s="234"/>
      <c r="AF378" s="235"/>
      <c r="AG378" s="236"/>
      <c r="AH378" s="236"/>
      <c r="AI378" s="236"/>
      <c r="AJ378" s="236"/>
      <c r="AK378" s="237"/>
      <c r="AL378" s="237"/>
      <c r="AM378" s="352"/>
      <c r="AN378" s="352"/>
    </row>
    <row r="379" spans="1:40" ht="67.5">
      <c r="A379" s="341">
        <v>62</v>
      </c>
      <c r="B379" s="344" t="s">
        <v>216</v>
      </c>
      <c r="C379" s="344" t="s">
        <v>125</v>
      </c>
      <c r="D379" s="344" t="s">
        <v>968</v>
      </c>
      <c r="E379" s="344" t="s">
        <v>969</v>
      </c>
      <c r="F379" s="347" t="s">
        <v>970</v>
      </c>
      <c r="G379" s="344" t="s">
        <v>115</v>
      </c>
      <c r="H379" s="350">
        <v>1000</v>
      </c>
      <c r="I379" s="353" t="s">
        <v>6</v>
      </c>
      <c r="J379" s="356">
        <v>0.8</v>
      </c>
      <c r="K379" s="359" t="s">
        <v>139</v>
      </c>
      <c r="L379" s="356" t="s">
        <v>139</v>
      </c>
      <c r="M379" s="353" t="s">
        <v>81</v>
      </c>
      <c r="N379" s="356">
        <v>1</v>
      </c>
      <c r="O379" s="362" t="s">
        <v>75</v>
      </c>
      <c r="P379" s="226">
        <v>1</v>
      </c>
      <c r="Q379" s="236" t="s">
        <v>971</v>
      </c>
      <c r="R379" s="227" t="s">
        <v>4</v>
      </c>
      <c r="S379" s="228" t="s">
        <v>15</v>
      </c>
      <c r="T379" s="228" t="s">
        <v>9</v>
      </c>
      <c r="U379" s="229" t="s">
        <v>352</v>
      </c>
      <c r="V379" s="228" t="s">
        <v>19</v>
      </c>
      <c r="W379" s="228" t="s">
        <v>22</v>
      </c>
      <c r="X379" s="228" t="s">
        <v>111</v>
      </c>
      <c r="Y379" s="230">
        <f>IFERROR(IF(R379="Probabilidad",(J379-(+J379*U379)),IF(R379="Impacto",J379,"")),"")</f>
        <v>0.56000000000000005</v>
      </c>
      <c r="Z379" s="231" t="s">
        <v>99</v>
      </c>
      <c r="AA379" s="232">
        <v>0.56000000000000005</v>
      </c>
      <c r="AB379" s="231" t="s">
        <v>81</v>
      </c>
      <c r="AC379" s="232">
        <v>1</v>
      </c>
      <c r="AD379" s="233" t="s">
        <v>75</v>
      </c>
      <c r="AE379" s="234" t="s">
        <v>257</v>
      </c>
      <c r="AF379" s="236" t="s">
        <v>972</v>
      </c>
      <c r="AG379" s="236" t="s">
        <v>973</v>
      </c>
      <c r="AH379" s="236" t="s">
        <v>974</v>
      </c>
      <c r="AI379" s="236" t="s">
        <v>975</v>
      </c>
      <c r="AJ379" s="236" t="s">
        <v>973</v>
      </c>
      <c r="AK379" s="237">
        <v>44681</v>
      </c>
      <c r="AL379" s="237">
        <v>44926</v>
      </c>
      <c r="AM379" s="350">
        <v>4078</v>
      </c>
      <c r="AN379" s="350"/>
    </row>
    <row r="380" spans="1:40" ht="54">
      <c r="A380" s="342"/>
      <c r="B380" s="345"/>
      <c r="C380" s="345"/>
      <c r="D380" s="345"/>
      <c r="E380" s="345"/>
      <c r="F380" s="348"/>
      <c r="G380" s="345"/>
      <c r="H380" s="351"/>
      <c r="I380" s="354"/>
      <c r="J380" s="357"/>
      <c r="K380" s="360"/>
      <c r="L380" s="357">
        <v>0</v>
      </c>
      <c r="M380" s="354"/>
      <c r="N380" s="357"/>
      <c r="O380" s="363"/>
      <c r="P380" s="226">
        <v>2</v>
      </c>
      <c r="Q380" s="236" t="s">
        <v>976</v>
      </c>
      <c r="R380" s="227" t="s">
        <v>4</v>
      </c>
      <c r="S380" s="228" t="s">
        <v>15</v>
      </c>
      <c r="T380" s="228" t="s">
        <v>9</v>
      </c>
      <c r="U380" s="229" t="s">
        <v>352</v>
      </c>
      <c r="V380" s="228" t="s">
        <v>19</v>
      </c>
      <c r="W380" s="228" t="s">
        <v>22</v>
      </c>
      <c r="X380" s="228" t="s">
        <v>111</v>
      </c>
      <c r="Y380" s="230">
        <f>IFERROR(IF(AND(R379="Probabilidad",R380="Probabilidad"),(AA379-(+AA379*U380)),IF(R380="Probabilidad",(J379-(+J379*U380)),IF(R380="Impacto",AA379,""))),"")</f>
        <v>0.39200000000000002</v>
      </c>
      <c r="Z380" s="231" t="s">
        <v>49</v>
      </c>
      <c r="AA380" s="232">
        <v>0.39200000000000002</v>
      </c>
      <c r="AB380" s="231" t="s">
        <v>81</v>
      </c>
      <c r="AC380" s="232">
        <v>1</v>
      </c>
      <c r="AD380" s="233" t="s">
        <v>75</v>
      </c>
      <c r="AE380" s="234" t="s">
        <v>257</v>
      </c>
      <c r="AF380" s="236" t="s">
        <v>977</v>
      </c>
      <c r="AG380" s="236" t="s">
        <v>973</v>
      </c>
      <c r="AH380" s="236" t="s">
        <v>974</v>
      </c>
      <c r="AI380" s="236" t="s">
        <v>975</v>
      </c>
      <c r="AJ380" s="236" t="s">
        <v>973</v>
      </c>
      <c r="AK380" s="237">
        <v>44681</v>
      </c>
      <c r="AL380" s="237">
        <v>44926</v>
      </c>
      <c r="AM380" s="351"/>
      <c r="AN380" s="351"/>
    </row>
    <row r="381" spans="1:40" ht="54">
      <c r="A381" s="342"/>
      <c r="B381" s="345"/>
      <c r="C381" s="345"/>
      <c r="D381" s="345"/>
      <c r="E381" s="345"/>
      <c r="F381" s="348"/>
      <c r="G381" s="345"/>
      <c r="H381" s="351"/>
      <c r="I381" s="354"/>
      <c r="J381" s="357"/>
      <c r="K381" s="360"/>
      <c r="L381" s="357">
        <v>0</v>
      </c>
      <c r="M381" s="354"/>
      <c r="N381" s="357"/>
      <c r="O381" s="363"/>
      <c r="P381" s="226">
        <v>3</v>
      </c>
      <c r="Q381" s="236" t="s">
        <v>978</v>
      </c>
      <c r="R381" s="227" t="s">
        <v>2</v>
      </c>
      <c r="S381" s="228" t="s">
        <v>16</v>
      </c>
      <c r="T381" s="228" t="s">
        <v>9</v>
      </c>
      <c r="U381" s="229" t="s">
        <v>359</v>
      </c>
      <c r="V381" s="228" t="s">
        <v>19</v>
      </c>
      <c r="W381" s="228" t="s">
        <v>22</v>
      </c>
      <c r="X381" s="228" t="s">
        <v>111</v>
      </c>
      <c r="Y381" s="230">
        <f>IFERROR(IF(AND(R380="Probabilidad",R381="Probabilidad"),(AA380-(+AA380*U381)),IF(AND(R380="Impacto",R381="Probabilidad"),(AA379-(+AA379*U381)),IF(R381="Impacto",AA380,""))),"")</f>
        <v>0.39200000000000002</v>
      </c>
      <c r="Z381" s="231" t="s">
        <v>49</v>
      </c>
      <c r="AA381" s="232">
        <v>0.39200000000000002</v>
      </c>
      <c r="AB381" s="231" t="s">
        <v>7</v>
      </c>
      <c r="AC381" s="232">
        <v>0.75</v>
      </c>
      <c r="AD381" s="233" t="s">
        <v>76</v>
      </c>
      <c r="AE381" s="234" t="s">
        <v>257</v>
      </c>
      <c r="AF381" s="236" t="s">
        <v>979</v>
      </c>
      <c r="AG381" s="236" t="s">
        <v>973</v>
      </c>
      <c r="AH381" s="236" t="s">
        <v>974</v>
      </c>
      <c r="AI381" s="236" t="s">
        <v>975</v>
      </c>
      <c r="AJ381" s="236" t="s">
        <v>973</v>
      </c>
      <c r="AK381" s="237">
        <v>44681</v>
      </c>
      <c r="AL381" s="237">
        <v>44926</v>
      </c>
      <c r="AM381" s="351"/>
      <c r="AN381" s="351"/>
    </row>
    <row r="382" spans="1:40" ht="54">
      <c r="A382" s="342"/>
      <c r="B382" s="345"/>
      <c r="C382" s="345"/>
      <c r="D382" s="345"/>
      <c r="E382" s="345"/>
      <c r="F382" s="348"/>
      <c r="G382" s="345"/>
      <c r="H382" s="351"/>
      <c r="I382" s="354"/>
      <c r="J382" s="357"/>
      <c r="K382" s="360"/>
      <c r="L382" s="357">
        <v>0</v>
      </c>
      <c r="M382" s="354"/>
      <c r="N382" s="357"/>
      <c r="O382" s="363"/>
      <c r="P382" s="226">
        <v>4</v>
      </c>
      <c r="Q382" s="236" t="s">
        <v>980</v>
      </c>
      <c r="R382" s="227" t="s">
        <v>4</v>
      </c>
      <c r="S382" s="228" t="s">
        <v>14</v>
      </c>
      <c r="T382" s="228" t="s">
        <v>9</v>
      </c>
      <c r="U382" s="229" t="s">
        <v>346</v>
      </c>
      <c r="V382" s="228" t="s">
        <v>19</v>
      </c>
      <c r="W382" s="228" t="s">
        <v>22</v>
      </c>
      <c r="X382" s="228" t="s">
        <v>111</v>
      </c>
      <c r="Y382" s="230">
        <f t="shared" ref="Y382:Y384" si="135">IFERROR(IF(AND(R381="Probabilidad",R382="Probabilidad"),(AA381-(+AA381*U382)),IF(AND(R381="Impacto",R382="Probabilidad"),(AA380-(+AA380*U382)),IF(R382="Impacto",AA381,""))),"")</f>
        <v>0.23519999999999999</v>
      </c>
      <c r="Z382" s="231" t="s">
        <v>49</v>
      </c>
      <c r="AA382" s="232">
        <v>0.23519999999999999</v>
      </c>
      <c r="AB382" s="231" t="s">
        <v>7</v>
      </c>
      <c r="AC382" s="232">
        <v>0.75</v>
      </c>
      <c r="AD382" s="233" t="s">
        <v>76</v>
      </c>
      <c r="AE382" s="234" t="s">
        <v>257</v>
      </c>
      <c r="AF382" s="236" t="s">
        <v>981</v>
      </c>
      <c r="AG382" s="236" t="s">
        <v>982</v>
      </c>
      <c r="AH382" s="236" t="s">
        <v>983</v>
      </c>
      <c r="AI382" s="236" t="s">
        <v>984</v>
      </c>
      <c r="AJ382" s="236" t="s">
        <v>982</v>
      </c>
      <c r="AK382" s="237">
        <v>44681</v>
      </c>
      <c r="AL382" s="237">
        <v>44926</v>
      </c>
      <c r="AM382" s="351"/>
      <c r="AN382" s="351"/>
    </row>
    <row r="383" spans="1:40">
      <c r="A383" s="342"/>
      <c r="B383" s="345"/>
      <c r="C383" s="345"/>
      <c r="D383" s="345"/>
      <c r="E383" s="345"/>
      <c r="F383" s="348"/>
      <c r="G383" s="345"/>
      <c r="H383" s="351"/>
      <c r="I383" s="354"/>
      <c r="J383" s="357"/>
      <c r="K383" s="360"/>
      <c r="L383" s="357">
        <v>0</v>
      </c>
      <c r="M383" s="354"/>
      <c r="N383" s="357"/>
      <c r="O383" s="363"/>
      <c r="P383" s="226">
        <v>5</v>
      </c>
      <c r="Q383" s="224"/>
      <c r="R383" s="227" t="s">
        <v>361</v>
      </c>
      <c r="S383" s="228"/>
      <c r="T383" s="228"/>
      <c r="U383" s="229" t="s">
        <v>361</v>
      </c>
      <c r="V383" s="228"/>
      <c r="W383" s="228"/>
      <c r="X383" s="228"/>
      <c r="Y383" s="230" t="str">
        <f t="shared" si="135"/>
        <v/>
      </c>
      <c r="Z383" s="231" t="s">
        <v>361</v>
      </c>
      <c r="AA383" s="232" t="s">
        <v>361</v>
      </c>
      <c r="AB383" s="231" t="s">
        <v>361</v>
      </c>
      <c r="AC383" s="232" t="s">
        <v>361</v>
      </c>
      <c r="AD383" s="233" t="s">
        <v>361</v>
      </c>
      <c r="AE383" s="234"/>
      <c r="AF383" s="235"/>
      <c r="AG383" s="236"/>
      <c r="AH383" s="236"/>
      <c r="AI383" s="236"/>
      <c r="AJ383" s="236"/>
      <c r="AK383" s="237"/>
      <c r="AL383" s="237"/>
      <c r="AM383" s="351"/>
      <c r="AN383" s="351"/>
    </row>
    <row r="384" spans="1:40">
      <c r="A384" s="343"/>
      <c r="B384" s="346"/>
      <c r="C384" s="346"/>
      <c r="D384" s="346"/>
      <c r="E384" s="346"/>
      <c r="F384" s="349"/>
      <c r="G384" s="346"/>
      <c r="H384" s="352"/>
      <c r="I384" s="355"/>
      <c r="J384" s="358"/>
      <c r="K384" s="361"/>
      <c r="L384" s="358">
        <v>0</v>
      </c>
      <c r="M384" s="355"/>
      <c r="N384" s="358"/>
      <c r="O384" s="364"/>
      <c r="P384" s="226">
        <v>6</v>
      </c>
      <c r="Q384" s="224"/>
      <c r="R384" s="227" t="s">
        <v>361</v>
      </c>
      <c r="S384" s="228"/>
      <c r="T384" s="228"/>
      <c r="U384" s="229" t="s">
        <v>361</v>
      </c>
      <c r="V384" s="228"/>
      <c r="W384" s="228"/>
      <c r="X384" s="228"/>
      <c r="Y384" s="230" t="str">
        <f t="shared" si="135"/>
        <v/>
      </c>
      <c r="Z384" s="231" t="s">
        <v>361</v>
      </c>
      <c r="AA384" s="232" t="s">
        <v>361</v>
      </c>
      <c r="AB384" s="231" t="s">
        <v>361</v>
      </c>
      <c r="AC384" s="232" t="s">
        <v>361</v>
      </c>
      <c r="AD384" s="233" t="s">
        <v>361</v>
      </c>
      <c r="AE384" s="234"/>
      <c r="AF384" s="235"/>
      <c r="AG384" s="236"/>
      <c r="AH384" s="236"/>
      <c r="AI384" s="236"/>
      <c r="AJ384" s="236"/>
      <c r="AK384" s="237"/>
      <c r="AL384" s="237"/>
      <c r="AM384" s="352"/>
      <c r="AN384" s="352"/>
    </row>
    <row r="385" spans="1:40" ht="81">
      <c r="A385" s="341">
        <v>63</v>
      </c>
      <c r="B385" s="344" t="s">
        <v>216</v>
      </c>
      <c r="C385" s="344" t="s">
        <v>125</v>
      </c>
      <c r="D385" s="344" t="s">
        <v>985</v>
      </c>
      <c r="E385" s="344" t="s">
        <v>986</v>
      </c>
      <c r="F385" s="347" t="s">
        <v>987</v>
      </c>
      <c r="G385" s="344" t="s">
        <v>120</v>
      </c>
      <c r="H385" s="350">
        <v>501</v>
      </c>
      <c r="I385" s="353" t="s">
        <v>6</v>
      </c>
      <c r="J385" s="356">
        <v>0.8</v>
      </c>
      <c r="K385" s="359" t="s">
        <v>142</v>
      </c>
      <c r="L385" s="356" t="s">
        <v>142</v>
      </c>
      <c r="M385" s="353" t="s">
        <v>77</v>
      </c>
      <c r="N385" s="356">
        <v>0.6</v>
      </c>
      <c r="O385" s="362" t="s">
        <v>76</v>
      </c>
      <c r="P385" s="226">
        <v>1</v>
      </c>
      <c r="Q385" s="224" t="s">
        <v>988</v>
      </c>
      <c r="R385" s="227" t="s">
        <v>4</v>
      </c>
      <c r="S385" s="228" t="s">
        <v>14</v>
      </c>
      <c r="T385" s="228" t="s">
        <v>9</v>
      </c>
      <c r="U385" s="229" t="s">
        <v>346</v>
      </c>
      <c r="V385" s="228" t="s">
        <v>19</v>
      </c>
      <c r="W385" s="228" t="s">
        <v>22</v>
      </c>
      <c r="X385" s="228" t="s">
        <v>111</v>
      </c>
      <c r="Y385" s="230">
        <f>IFERROR(IF(R385="Probabilidad",(J385-(+J385*U385)),IF(R385="Impacto",J385,"")),"")</f>
        <v>0.48</v>
      </c>
      <c r="Z385" s="231" t="s">
        <v>99</v>
      </c>
      <c r="AA385" s="232">
        <v>0.48</v>
      </c>
      <c r="AB385" s="231" t="s">
        <v>77</v>
      </c>
      <c r="AC385" s="232">
        <v>0.6</v>
      </c>
      <c r="AD385" s="233" t="s">
        <v>77</v>
      </c>
      <c r="AE385" s="234" t="s">
        <v>257</v>
      </c>
      <c r="AF385" s="235" t="s">
        <v>989</v>
      </c>
      <c r="AG385" s="236" t="s">
        <v>990</v>
      </c>
      <c r="AH385" s="236" t="s">
        <v>991</v>
      </c>
      <c r="AI385" s="236" t="s">
        <v>992</v>
      </c>
      <c r="AJ385" s="236" t="s">
        <v>993</v>
      </c>
      <c r="AK385" s="237">
        <v>44681</v>
      </c>
      <c r="AL385" s="237">
        <v>44926</v>
      </c>
      <c r="AM385" s="350">
        <v>4081</v>
      </c>
      <c r="AN385" s="350"/>
    </row>
    <row r="386" spans="1:40" ht="67.5">
      <c r="A386" s="342"/>
      <c r="B386" s="345"/>
      <c r="C386" s="345"/>
      <c r="D386" s="345"/>
      <c r="E386" s="345"/>
      <c r="F386" s="348"/>
      <c r="G386" s="345"/>
      <c r="H386" s="351"/>
      <c r="I386" s="354"/>
      <c r="J386" s="357"/>
      <c r="K386" s="360"/>
      <c r="L386" s="357">
        <v>0</v>
      </c>
      <c r="M386" s="354"/>
      <c r="N386" s="357"/>
      <c r="O386" s="363"/>
      <c r="P386" s="226">
        <v>2</v>
      </c>
      <c r="Q386" s="224" t="s">
        <v>994</v>
      </c>
      <c r="R386" s="227" t="s">
        <v>4</v>
      </c>
      <c r="S386" s="228" t="s">
        <v>14</v>
      </c>
      <c r="T386" s="228" t="s">
        <v>9</v>
      </c>
      <c r="U386" s="229" t="s">
        <v>346</v>
      </c>
      <c r="V386" s="228" t="s">
        <v>19</v>
      </c>
      <c r="W386" s="228" t="s">
        <v>22</v>
      </c>
      <c r="X386" s="228" t="s">
        <v>111</v>
      </c>
      <c r="Y386" s="230">
        <f>IFERROR(IF(AND(R385="Probabilidad",R386="Probabilidad"),(AA385-(+AA385*U386)),IF(R386="Probabilidad",(J385-(+J385*U386)),IF(R386="Impacto",AA385,""))),"")</f>
        <v>0.28799999999999998</v>
      </c>
      <c r="Z386" s="231" t="s">
        <v>49</v>
      </c>
      <c r="AA386" s="232">
        <v>0.28799999999999998</v>
      </c>
      <c r="AB386" s="231" t="s">
        <v>77</v>
      </c>
      <c r="AC386" s="232">
        <v>0.6</v>
      </c>
      <c r="AD386" s="233" t="s">
        <v>77</v>
      </c>
      <c r="AE386" s="234" t="s">
        <v>257</v>
      </c>
      <c r="AF386" s="235" t="s">
        <v>995</v>
      </c>
      <c r="AG386" s="236" t="s">
        <v>990</v>
      </c>
      <c r="AH386" s="236" t="s">
        <v>991</v>
      </c>
      <c r="AI386" s="236" t="s">
        <v>992</v>
      </c>
      <c r="AJ386" s="236" t="s">
        <v>993</v>
      </c>
      <c r="AK386" s="237">
        <v>44681</v>
      </c>
      <c r="AL386" s="237">
        <v>44926</v>
      </c>
      <c r="AM386" s="351"/>
      <c r="AN386" s="351"/>
    </row>
    <row r="387" spans="1:40" ht="81">
      <c r="A387" s="342"/>
      <c r="B387" s="345"/>
      <c r="C387" s="345"/>
      <c r="D387" s="345"/>
      <c r="E387" s="345"/>
      <c r="F387" s="348"/>
      <c r="G387" s="345"/>
      <c r="H387" s="351"/>
      <c r="I387" s="354"/>
      <c r="J387" s="357"/>
      <c r="K387" s="360"/>
      <c r="L387" s="357">
        <v>0</v>
      </c>
      <c r="M387" s="354"/>
      <c r="N387" s="357"/>
      <c r="O387" s="363"/>
      <c r="P387" s="226">
        <v>3</v>
      </c>
      <c r="Q387" s="225" t="s">
        <v>996</v>
      </c>
      <c r="R387" s="227" t="s">
        <v>4</v>
      </c>
      <c r="S387" s="228" t="s">
        <v>14</v>
      </c>
      <c r="T387" s="228" t="s">
        <v>9</v>
      </c>
      <c r="U387" s="229" t="s">
        <v>346</v>
      </c>
      <c r="V387" s="228" t="s">
        <v>19</v>
      </c>
      <c r="W387" s="228" t="s">
        <v>22</v>
      </c>
      <c r="X387" s="228" t="s">
        <v>111</v>
      </c>
      <c r="Y387" s="230">
        <f>IFERROR(IF(AND(R386="Probabilidad",R387="Probabilidad"),(AA386-(+AA386*U387)),IF(AND(R386="Impacto",R387="Probabilidad"),(AA385-(+AA385*U387)),IF(R387="Impacto",AA386,""))),"")</f>
        <v>0.17279999999999998</v>
      </c>
      <c r="Z387" s="231" t="s">
        <v>47</v>
      </c>
      <c r="AA387" s="232">
        <v>0.17279999999999998</v>
      </c>
      <c r="AB387" s="231" t="s">
        <v>77</v>
      </c>
      <c r="AC387" s="232">
        <v>0.6</v>
      </c>
      <c r="AD387" s="233" t="s">
        <v>77</v>
      </c>
      <c r="AE387" s="234" t="s">
        <v>257</v>
      </c>
      <c r="AF387" s="235" t="s">
        <v>997</v>
      </c>
      <c r="AG387" s="236" t="s">
        <v>990</v>
      </c>
      <c r="AH387" s="236" t="s">
        <v>991</v>
      </c>
      <c r="AI387" s="236" t="s">
        <v>992</v>
      </c>
      <c r="AJ387" s="236" t="s">
        <v>993</v>
      </c>
      <c r="AK387" s="237">
        <v>44681</v>
      </c>
      <c r="AL387" s="237">
        <v>44926</v>
      </c>
      <c r="AM387" s="351"/>
      <c r="AN387" s="351"/>
    </row>
    <row r="388" spans="1:40">
      <c r="A388" s="342"/>
      <c r="B388" s="345"/>
      <c r="C388" s="345"/>
      <c r="D388" s="345"/>
      <c r="E388" s="345"/>
      <c r="F388" s="348"/>
      <c r="G388" s="345"/>
      <c r="H388" s="351"/>
      <c r="I388" s="354"/>
      <c r="J388" s="357"/>
      <c r="K388" s="360"/>
      <c r="L388" s="357">
        <v>0</v>
      </c>
      <c r="M388" s="354"/>
      <c r="N388" s="357"/>
      <c r="O388" s="363"/>
      <c r="P388" s="226">
        <v>4</v>
      </c>
      <c r="Q388" s="224"/>
      <c r="R388" s="227" t="s">
        <v>361</v>
      </c>
      <c r="S388" s="228"/>
      <c r="T388" s="228"/>
      <c r="U388" s="229" t="s">
        <v>361</v>
      </c>
      <c r="V388" s="228"/>
      <c r="W388" s="228"/>
      <c r="X388" s="228"/>
      <c r="Y388" s="230" t="str">
        <f t="shared" ref="Y388:Y390" si="136">IFERROR(IF(AND(R387="Probabilidad",R388="Probabilidad"),(AA387-(+AA387*U388)),IF(AND(R387="Impacto",R388="Probabilidad"),(AA386-(+AA386*U388)),IF(R388="Impacto",AA387,""))),"")</f>
        <v/>
      </c>
      <c r="Z388" s="231" t="s">
        <v>361</v>
      </c>
      <c r="AA388" s="232" t="s">
        <v>361</v>
      </c>
      <c r="AB388" s="231" t="s">
        <v>361</v>
      </c>
      <c r="AC388" s="232" t="s">
        <v>361</v>
      </c>
      <c r="AD388" s="233" t="s">
        <v>361</v>
      </c>
      <c r="AE388" s="234"/>
      <c r="AF388" s="235"/>
      <c r="AG388" s="236"/>
      <c r="AH388" s="236"/>
      <c r="AI388" s="236"/>
      <c r="AJ388" s="236"/>
      <c r="AK388" s="237"/>
      <c r="AL388" s="237"/>
      <c r="AM388" s="351"/>
      <c r="AN388" s="351"/>
    </row>
    <row r="389" spans="1:40">
      <c r="A389" s="342"/>
      <c r="B389" s="345"/>
      <c r="C389" s="345"/>
      <c r="D389" s="345"/>
      <c r="E389" s="345"/>
      <c r="F389" s="348"/>
      <c r="G389" s="345"/>
      <c r="H389" s="351"/>
      <c r="I389" s="354"/>
      <c r="J389" s="357"/>
      <c r="K389" s="360"/>
      <c r="L389" s="357">
        <v>0</v>
      </c>
      <c r="M389" s="354"/>
      <c r="N389" s="357"/>
      <c r="O389" s="363"/>
      <c r="P389" s="226">
        <v>5</v>
      </c>
      <c r="Q389" s="224"/>
      <c r="R389" s="227" t="s">
        <v>361</v>
      </c>
      <c r="S389" s="228"/>
      <c r="T389" s="228"/>
      <c r="U389" s="229" t="s">
        <v>361</v>
      </c>
      <c r="V389" s="228"/>
      <c r="W389" s="228"/>
      <c r="X389" s="228"/>
      <c r="Y389" s="230" t="str">
        <f t="shared" si="136"/>
        <v/>
      </c>
      <c r="Z389" s="231" t="s">
        <v>361</v>
      </c>
      <c r="AA389" s="232" t="s">
        <v>361</v>
      </c>
      <c r="AB389" s="231" t="s">
        <v>361</v>
      </c>
      <c r="AC389" s="232" t="s">
        <v>361</v>
      </c>
      <c r="AD389" s="233" t="s">
        <v>361</v>
      </c>
      <c r="AE389" s="234"/>
      <c r="AF389" s="235"/>
      <c r="AG389" s="236"/>
      <c r="AH389" s="236"/>
      <c r="AI389" s="236"/>
      <c r="AJ389" s="236"/>
      <c r="AK389" s="237"/>
      <c r="AL389" s="237"/>
      <c r="AM389" s="351"/>
      <c r="AN389" s="351"/>
    </row>
    <row r="390" spans="1:40">
      <c r="A390" s="343"/>
      <c r="B390" s="346"/>
      <c r="C390" s="346"/>
      <c r="D390" s="346"/>
      <c r="E390" s="346"/>
      <c r="F390" s="349"/>
      <c r="G390" s="346"/>
      <c r="H390" s="352"/>
      <c r="I390" s="355"/>
      <c r="J390" s="358"/>
      <c r="K390" s="361"/>
      <c r="L390" s="358">
        <v>0</v>
      </c>
      <c r="M390" s="355"/>
      <c r="N390" s="358"/>
      <c r="O390" s="364"/>
      <c r="P390" s="226">
        <v>6</v>
      </c>
      <c r="Q390" s="224"/>
      <c r="R390" s="227" t="s">
        <v>361</v>
      </c>
      <c r="S390" s="228"/>
      <c r="T390" s="228"/>
      <c r="U390" s="229" t="s">
        <v>361</v>
      </c>
      <c r="V390" s="228"/>
      <c r="W390" s="228"/>
      <c r="X390" s="228"/>
      <c r="Y390" s="230" t="str">
        <f t="shared" si="136"/>
        <v/>
      </c>
      <c r="Z390" s="231" t="s">
        <v>361</v>
      </c>
      <c r="AA390" s="232" t="s">
        <v>361</v>
      </c>
      <c r="AB390" s="231" t="s">
        <v>361</v>
      </c>
      <c r="AC390" s="232" t="s">
        <v>361</v>
      </c>
      <c r="AD390" s="233" t="s">
        <v>361</v>
      </c>
      <c r="AE390" s="234"/>
      <c r="AF390" s="235"/>
      <c r="AG390" s="236"/>
      <c r="AH390" s="236"/>
      <c r="AI390" s="236"/>
      <c r="AJ390" s="236"/>
      <c r="AK390" s="237"/>
      <c r="AL390" s="237"/>
      <c r="AM390" s="352"/>
      <c r="AN390" s="352"/>
    </row>
    <row r="391" spans="1:40" ht="54">
      <c r="A391" s="341">
        <v>64</v>
      </c>
      <c r="B391" s="344" t="s">
        <v>224</v>
      </c>
      <c r="C391" s="344" t="s">
        <v>125</v>
      </c>
      <c r="D391" s="344" t="s">
        <v>998</v>
      </c>
      <c r="E391" s="344" t="s">
        <v>999</v>
      </c>
      <c r="F391" s="347" t="s">
        <v>1000</v>
      </c>
      <c r="G391" s="344" t="s">
        <v>115</v>
      </c>
      <c r="H391" s="350">
        <v>140</v>
      </c>
      <c r="I391" s="353" t="str">
        <f>IF(H391&lt;=0,"",IF(H391&lt;=2,"Muy Baja",IF(H391&lt;=24,"Baja",IF(H391&lt;=500,"Media",IF(H391&lt;=5000,"Alta","Muy Alta")))))</f>
        <v>Media</v>
      </c>
      <c r="J391" s="356">
        <f>IF(I391="","",IF(I391="Muy Baja",0.2,IF(I391="Baja",0.4,IF(I391="Media",0.6,IF(I391="Alta",0.8,IF(I391="Muy Alta",1,))))))</f>
        <v>0.6</v>
      </c>
      <c r="K391" s="359" t="s">
        <v>143</v>
      </c>
      <c r="L391" s="356" t="str">
        <f>IF(NOT(ISERROR(MATCH(K391,'[7]Tabla Impacto'!$B$221:$B$223,0))),'[7]Tabla Impacto'!$F$223&amp;"Por favor no seleccionar los criterios de impacto(Afectación Económica o presupuestal y Pérdida Reputacional)",K391)</f>
        <v xml:space="preserve">     El riesgo afecta la imagen de de la entidad con efecto publicitario sostenido a nivel de sector administrativo, nivel departamental o municipal</v>
      </c>
      <c r="M391" s="353" t="str">
        <f>IF(OR(L391='[7]Tabla Impacto'!$C$11,L391='[7]Tabla Impacto'!$D$11),"Leve",IF(OR(L391='[7]Tabla Impacto'!$C$12,L391='[7]Tabla Impacto'!$D$12),"Menor",IF(OR(L391='[7]Tabla Impacto'!$C$13,L391='[7]Tabla Impacto'!$D$13),"Moderado",IF(OR(L391='[7]Tabla Impacto'!$C$14,L391='[7]Tabla Impacto'!$D$14),"Mayor",IF(OR(L391='[7]Tabla Impacto'!$C$15,L391='[7]Tabla Impacto'!$D$15),"Catastrófico","")))))</f>
        <v>Mayor</v>
      </c>
      <c r="N391" s="356">
        <f>IF(M391="","",IF(M391="Leve",0.2,IF(M391="Menor",0.4,IF(M391="Moderado",0.6,IF(M391="Mayor",0.8,IF(M391="Catastrófico",1,))))))</f>
        <v>0.8</v>
      </c>
      <c r="O391" s="362" t="str">
        <f>IF(OR(AND(I391="Muy Baja",M391="Leve"),AND(I391="Muy Baja",M391="Menor"),AND(I391="Baja",M391="Leve")),"Bajo",IF(OR(AND(I391="Muy baja",M391="Moderado"),AND(I391="Baja",M391="Menor"),AND(I391="Baja",M391="Moderado"),AND(I391="Media",M391="Leve"),AND(I391="Media",M391="Menor"),AND(I391="Media",M391="Moderado"),AND(I391="Alta",M391="Leve"),AND(I391="Alta",M391="Menor")),"Moderado",IF(OR(AND(I391="Muy Baja",M391="Mayor"),AND(I391="Baja",M391="Mayor"),AND(I391="Media",M391="Mayor"),AND(I391="Alta",M391="Moderado"),AND(I391="Alta",M391="Mayor"),AND(I391="Muy Alta",M391="Leve"),AND(I391="Muy Alta",M391="Menor"),AND(I391="Muy Alta",M391="Moderado"),AND(I391="Muy Alta",M391="Mayor")),"Alto",IF(OR(AND(I391="Muy Baja",M391="Catastrófico"),AND(I391="Baja",M391="Catastrófico"),AND(I391="Media",M391="Catastrófico"),AND(I391="Alta",M391="Catastrófico"),AND(I391="Muy Alta",M391="Catastrófico")),"Extremo",""))))</f>
        <v>Alto</v>
      </c>
      <c r="P391" s="226">
        <v>1</v>
      </c>
      <c r="Q391" s="219" t="s">
        <v>1001</v>
      </c>
      <c r="R391" s="227" t="str">
        <f>IF(OR(S391="Preventivo",S391="Detectivo"),"Probabilidad",IF(S391="Correctivo","Impacto",""))</f>
        <v>Probabilidad</v>
      </c>
      <c r="S391" s="171" t="s">
        <v>14</v>
      </c>
      <c r="T391" s="171" t="s">
        <v>9</v>
      </c>
      <c r="U391" s="229" t="str">
        <f>IF(AND(S391="Preventivo",T391="Automático"),"50%",IF(AND(S391="Preventivo",T391="Manual"),"40%",IF(AND(S391="Detectivo",T391="Automático"),"40%",IF(AND(S391="Detectivo",T391="Manual"),"30%",IF(AND(S391="Correctivo",T391="Automático"),"35%",IF(AND(S391="Correctivo",T391="Manual"),"25%",""))))))</f>
        <v>40%</v>
      </c>
      <c r="V391" s="171" t="s">
        <v>19</v>
      </c>
      <c r="W391" s="171" t="s">
        <v>22</v>
      </c>
      <c r="X391" s="171" t="s">
        <v>111</v>
      </c>
      <c r="Y391" s="230">
        <f>IFERROR(IF(R391="Probabilidad",(J391-(+J391*U391)),IF(R391="Impacto",J391,"")),"")</f>
        <v>0.36</v>
      </c>
      <c r="Z391" s="231" t="str">
        <f>IFERROR(IF(Y391="","",IF(Y391&lt;=0.2,"Muy Baja",IF(Y391&lt;=0.4,"Baja",IF(Y391&lt;=0.6,"Media",IF(Y391&lt;=0.8,"Alta","Muy Alta"))))),"")</f>
        <v>Baja</v>
      </c>
      <c r="AA391" s="232">
        <f>+Y391</f>
        <v>0.36</v>
      </c>
      <c r="AB391" s="231" t="str">
        <f>IFERROR(IF(AC391="","",IF(AC391&lt;=0.2,"Leve",IF(AC391&lt;=0.4,"Menor",IF(AC391&lt;=0.6,"Moderado",IF(AC391&lt;=0.8,"Mayor","Catastrófico"))))),"")</f>
        <v>Mayor</v>
      </c>
      <c r="AC391" s="232">
        <f>IFERROR(IF(R391="Impacto",(N391-(+N391*U391)),IF(R391="Probabilidad",N391,"")),"")</f>
        <v>0.8</v>
      </c>
      <c r="AD391" s="233" t="str">
        <f>IFERROR(IF(OR(AND(Z391="Muy Baja",AB391="Leve"),AND(Z391="Muy Baja",AB391="Menor"),AND(Z391="Baja",AB391="Leve")),"Bajo",IF(OR(AND(Z391="Muy baja",AB391="Moderado"),AND(Z391="Baja",AB391="Menor"),AND(Z391="Baja",AB391="Moderado"),AND(Z391="Media",AB391="Leve"),AND(Z391="Media",AB391="Menor"),AND(Z391="Media",AB391="Moderado"),AND(Z391="Alta",AB391="Leve"),AND(Z391="Alta",AB391="Menor")),"Moderado",IF(OR(AND(Z391="Muy Baja",AB391="Mayor"),AND(Z391="Baja",AB391="Mayor"),AND(Z391="Media",AB391="Mayor"),AND(Z391="Alta",AB391="Moderado"),AND(Z391="Alta",AB391="Mayor"),AND(Z391="Muy Alta",AB391="Leve"),AND(Z391="Muy Alta",AB391="Menor"),AND(Z391="Muy Alta",AB391="Moderado"),AND(Z391="Muy Alta",AB391="Mayor")),"Alto",IF(OR(AND(Z391="Muy Baja",AB391="Catastrófico"),AND(Z391="Baja",AB391="Catastrófico"),AND(Z391="Media",AB391="Catastrófico"),AND(Z391="Alta",AB391="Catastrófico"),AND(Z391="Muy Alta",AB391="Catastrófico")),"Extremo","")))),"")</f>
        <v>Alto</v>
      </c>
      <c r="AE391" s="234" t="s">
        <v>257</v>
      </c>
      <c r="AF391" s="223" t="s">
        <v>1002</v>
      </c>
      <c r="AG391" s="236" t="s">
        <v>1003</v>
      </c>
      <c r="AH391" s="236" t="s">
        <v>1004</v>
      </c>
      <c r="AI391" s="236" t="s">
        <v>1005</v>
      </c>
      <c r="AJ391" s="236" t="s">
        <v>1006</v>
      </c>
      <c r="AK391" s="172" t="s">
        <v>1007</v>
      </c>
      <c r="AL391" s="172" t="s">
        <v>433</v>
      </c>
      <c r="AM391" s="344" t="s">
        <v>1008</v>
      </c>
      <c r="AN391" s="350"/>
    </row>
    <row r="392" spans="1:40" ht="108">
      <c r="A392" s="342"/>
      <c r="B392" s="345"/>
      <c r="C392" s="345"/>
      <c r="D392" s="345"/>
      <c r="E392" s="345"/>
      <c r="F392" s="348"/>
      <c r="G392" s="345"/>
      <c r="H392" s="351"/>
      <c r="I392" s="354"/>
      <c r="J392" s="357"/>
      <c r="K392" s="360"/>
      <c r="L392" s="357">
        <f ca="1">IF(NOT(ISERROR(MATCH(K392,_xlfn.ANCHORARRAY(F403),0))),J405&amp;"Por favor no seleccionar los criterios de impacto",K392)</f>
        <v>0</v>
      </c>
      <c r="M392" s="354"/>
      <c r="N392" s="357"/>
      <c r="O392" s="363"/>
      <c r="P392" s="226">
        <v>2</v>
      </c>
      <c r="Q392" s="219" t="s">
        <v>1009</v>
      </c>
      <c r="R392" s="227" t="str">
        <f>IF(OR(S392="Preventivo",S392="Detectivo"),"Probabilidad",IF(S392="Correctivo","Impacto",""))</f>
        <v>Probabilidad</v>
      </c>
      <c r="S392" s="228" t="s">
        <v>14</v>
      </c>
      <c r="T392" s="228" t="s">
        <v>9</v>
      </c>
      <c r="U392" s="229" t="str">
        <f t="shared" ref="U392:U396" si="137">IF(AND(S392="Preventivo",T392="Automático"),"50%",IF(AND(S392="Preventivo",T392="Manual"),"40%",IF(AND(S392="Detectivo",T392="Automático"),"40%",IF(AND(S392="Detectivo",T392="Manual"),"30%",IF(AND(S392="Correctivo",T392="Automático"),"35%",IF(AND(S392="Correctivo",T392="Manual"),"25%",""))))))</f>
        <v>40%</v>
      </c>
      <c r="V392" s="228" t="s">
        <v>19</v>
      </c>
      <c r="W392" s="228" t="s">
        <v>22</v>
      </c>
      <c r="X392" s="228" t="s">
        <v>111</v>
      </c>
      <c r="Y392" s="230">
        <f>IFERROR(IF(AND(R391="Probabilidad",R392="Probabilidad"),(AA391-(+AA391*U392)),IF(R392="Probabilidad",(J391-(+J391*U392)),IF(R392="Impacto",AA391,""))),"")</f>
        <v>0.216</v>
      </c>
      <c r="Z392" s="231" t="str">
        <f t="shared" ref="Z392:Z396" si="138">IFERROR(IF(Y392="","",IF(Y392&lt;=0.2,"Muy Baja",IF(Y392&lt;=0.4,"Baja",IF(Y392&lt;=0.6,"Media",IF(Y392&lt;=0.8,"Alta","Muy Alta"))))),"")</f>
        <v>Baja</v>
      </c>
      <c r="AA392" s="232">
        <f t="shared" ref="AA392:AA396" si="139">+Y392</f>
        <v>0.216</v>
      </c>
      <c r="AB392" s="231" t="str">
        <f t="shared" ref="AB392:AB396" si="140">IFERROR(IF(AC392="","",IF(AC392&lt;=0.2,"Leve",IF(AC392&lt;=0.4,"Menor",IF(AC392&lt;=0.6,"Moderado",IF(AC392&lt;=0.8,"Mayor","Catastrófico"))))),"")</f>
        <v>Mayor</v>
      </c>
      <c r="AC392" s="232">
        <f>IFERROR(IF(AND(R391="Impacto",R392="Impacto"),(AC391-(+AC391*U392)),IF(R392="Impacto",(N391-(+N391*U392)),IF(R392="Probabilidad",AC391,""))),"")</f>
        <v>0.8</v>
      </c>
      <c r="AD392" s="233" t="str">
        <f t="shared" ref="AD392:AD396" si="141">IFERROR(IF(OR(AND(Z392="Muy Baja",AB392="Leve"),AND(Z392="Muy Baja",AB392="Menor"),AND(Z392="Baja",AB392="Leve")),"Bajo",IF(OR(AND(Z392="Muy baja",AB392="Moderado"),AND(Z392="Baja",AB392="Menor"),AND(Z392="Baja",AB392="Moderado"),AND(Z392="Media",AB392="Leve"),AND(Z392="Media",AB392="Menor"),AND(Z392="Media",AB392="Moderado"),AND(Z392="Alta",AB392="Leve"),AND(Z392="Alta",AB392="Menor")),"Moderado",IF(OR(AND(Z392="Muy Baja",AB392="Mayor"),AND(Z392="Baja",AB392="Mayor"),AND(Z392="Media",AB392="Mayor"),AND(Z392="Alta",AB392="Moderado"),AND(Z392="Alta",AB392="Mayor"),AND(Z392="Muy Alta",AB392="Leve"),AND(Z392="Muy Alta",AB392="Menor"),AND(Z392="Muy Alta",AB392="Moderado"),AND(Z392="Muy Alta",AB392="Mayor")),"Alto",IF(OR(AND(Z392="Muy Baja",AB392="Catastrófico"),AND(Z392="Baja",AB392="Catastrófico"),AND(Z392="Media",AB392="Catastrófico"),AND(Z392="Alta",AB392="Catastrófico"),AND(Z392="Muy Alta",AB392="Catastrófico")),"Extremo","")))),"")</f>
        <v>Alto</v>
      </c>
      <c r="AE392" s="234" t="s">
        <v>257</v>
      </c>
      <c r="AF392" s="222" t="s">
        <v>1010</v>
      </c>
      <c r="AG392" s="236" t="s">
        <v>1003</v>
      </c>
      <c r="AH392" s="236" t="s">
        <v>1004</v>
      </c>
      <c r="AI392" s="236" t="s">
        <v>1005</v>
      </c>
      <c r="AJ392" s="236" t="s">
        <v>1006</v>
      </c>
      <c r="AK392" s="172" t="s">
        <v>1007</v>
      </c>
      <c r="AL392" s="172" t="s">
        <v>433</v>
      </c>
      <c r="AM392" s="351"/>
      <c r="AN392" s="351"/>
    </row>
    <row r="393" spans="1:40" ht="67.5">
      <c r="A393" s="342"/>
      <c r="B393" s="345"/>
      <c r="C393" s="345"/>
      <c r="D393" s="345"/>
      <c r="E393" s="345"/>
      <c r="F393" s="348"/>
      <c r="G393" s="345"/>
      <c r="H393" s="351"/>
      <c r="I393" s="354"/>
      <c r="J393" s="357"/>
      <c r="K393" s="360"/>
      <c r="L393" s="357">
        <f ca="1">IF(NOT(ISERROR(MATCH(K393,_xlfn.ANCHORARRAY(F404),0))),J406&amp;"Por favor no seleccionar los criterios de impacto",K393)</f>
        <v>0</v>
      </c>
      <c r="M393" s="354"/>
      <c r="N393" s="357"/>
      <c r="O393" s="363"/>
      <c r="P393" s="226">
        <v>3</v>
      </c>
      <c r="Q393" s="224" t="s">
        <v>1011</v>
      </c>
      <c r="R393" s="227" t="str">
        <f>IF(OR(S393="Preventivo",S393="Detectivo"),"Probabilidad",IF(S393="Correctivo","Impacto",""))</f>
        <v>Probabilidad</v>
      </c>
      <c r="S393" s="228" t="s">
        <v>14</v>
      </c>
      <c r="T393" s="228" t="s">
        <v>9</v>
      </c>
      <c r="U393" s="229" t="str">
        <f t="shared" si="137"/>
        <v>40%</v>
      </c>
      <c r="V393" s="228" t="s">
        <v>19</v>
      </c>
      <c r="W393" s="228" t="s">
        <v>22</v>
      </c>
      <c r="X393" s="228" t="s">
        <v>111</v>
      </c>
      <c r="Y393" s="230">
        <f>IFERROR(IF(AND(R392="Probabilidad",R393="Probabilidad"),(AA392-(+AA392*U393)),IF(AND(R392="Impacto",R393="Probabilidad"),(AA391-(+AA391*U393)),IF(R393="Impacto",AA392,""))),"")</f>
        <v>0.12959999999999999</v>
      </c>
      <c r="Z393" s="231" t="str">
        <f t="shared" si="138"/>
        <v>Muy Baja</v>
      </c>
      <c r="AA393" s="232">
        <f t="shared" si="139"/>
        <v>0.12959999999999999</v>
      </c>
      <c r="AB393" s="231" t="str">
        <f t="shared" si="140"/>
        <v>Mayor</v>
      </c>
      <c r="AC393" s="232">
        <f>IFERROR(IF(AND(R392="Impacto",R393="Impacto"),(AC392-(+AC392*U393)),IF(AND(R392="Probabilidad",R393="Impacto"),(AC391-(+AC391*U393)),IF(R393="Probabilidad",AC392,""))),"")</f>
        <v>0.8</v>
      </c>
      <c r="AD393" s="233" t="str">
        <f t="shared" si="141"/>
        <v>Alto</v>
      </c>
      <c r="AE393" s="234" t="s">
        <v>257</v>
      </c>
      <c r="AF393" s="223" t="s">
        <v>1012</v>
      </c>
      <c r="AG393" s="236" t="s">
        <v>1003</v>
      </c>
      <c r="AH393" s="236" t="s">
        <v>1004</v>
      </c>
      <c r="AI393" s="236" t="s">
        <v>1005</v>
      </c>
      <c r="AJ393" s="236" t="s">
        <v>1006</v>
      </c>
      <c r="AK393" s="172" t="s">
        <v>1007</v>
      </c>
      <c r="AL393" s="172" t="s">
        <v>433</v>
      </c>
      <c r="AM393" s="351"/>
      <c r="AN393" s="351"/>
    </row>
    <row r="394" spans="1:40" ht="67.5">
      <c r="A394" s="342"/>
      <c r="B394" s="345"/>
      <c r="C394" s="345"/>
      <c r="D394" s="345"/>
      <c r="E394" s="345"/>
      <c r="F394" s="348"/>
      <c r="G394" s="345"/>
      <c r="H394" s="351"/>
      <c r="I394" s="354"/>
      <c r="J394" s="357"/>
      <c r="K394" s="360"/>
      <c r="L394" s="357">
        <f ca="1">IF(NOT(ISERROR(MATCH(K394,_xlfn.ANCHORARRAY(F405),0))),J407&amp;"Por favor no seleccionar los criterios de impacto",K394)</f>
        <v>0</v>
      </c>
      <c r="M394" s="354"/>
      <c r="N394" s="357"/>
      <c r="O394" s="363"/>
      <c r="P394" s="226">
        <v>4</v>
      </c>
      <c r="Q394" s="224" t="s">
        <v>1013</v>
      </c>
      <c r="R394" s="227" t="str">
        <f t="shared" ref="R394:R396" si="142">IF(OR(S394="Preventivo",S394="Detectivo"),"Probabilidad",IF(S394="Correctivo","Impacto",""))</f>
        <v>Probabilidad</v>
      </c>
      <c r="S394" s="228" t="s">
        <v>14</v>
      </c>
      <c r="T394" s="228" t="s">
        <v>9</v>
      </c>
      <c r="U394" s="229" t="str">
        <f t="shared" si="137"/>
        <v>40%</v>
      </c>
      <c r="V394" s="228" t="s">
        <v>19</v>
      </c>
      <c r="W394" s="228" t="s">
        <v>22</v>
      </c>
      <c r="X394" s="228" t="s">
        <v>111</v>
      </c>
      <c r="Y394" s="230">
        <f t="shared" ref="Y394:Y396" si="143">IFERROR(IF(AND(R393="Probabilidad",R394="Probabilidad"),(AA393-(+AA393*U394)),IF(AND(R393="Impacto",R394="Probabilidad"),(AA392-(+AA392*U394)),IF(R394="Impacto",AA393,""))),"")</f>
        <v>7.7759999999999996E-2</v>
      </c>
      <c r="Z394" s="231" t="str">
        <f t="shared" si="138"/>
        <v>Muy Baja</v>
      </c>
      <c r="AA394" s="232">
        <f t="shared" si="139"/>
        <v>7.7759999999999996E-2</v>
      </c>
      <c r="AB394" s="231" t="str">
        <f t="shared" si="140"/>
        <v>Mayor</v>
      </c>
      <c r="AC394" s="232">
        <f t="shared" ref="AC394:AC396" si="144">IFERROR(IF(AND(R393="Impacto",R394="Impacto"),(AC393-(+AC393*U394)),IF(AND(R393="Probabilidad",R394="Impacto"),(AC392-(+AC392*U394)),IF(R394="Probabilidad",AC393,""))),"")</f>
        <v>0.8</v>
      </c>
      <c r="AD394" s="233" t="str">
        <f>IFERROR(IF(OR(AND(Z394="Muy Baja",AB394="Leve"),AND(Z394="Muy Baja",AB394="Menor"),AND(Z394="Baja",AB394="Leve")),"Bajo",IF(OR(AND(Z394="Muy baja",AB394="Moderado"),AND(Z394="Baja",AB394="Menor"),AND(Z394="Baja",AB394="Moderado"),AND(Z394="Media",AB394="Leve"),AND(Z394="Media",AB394="Menor"),AND(Z394="Media",AB394="Moderado"),AND(Z394="Alta",AB394="Leve"),AND(Z394="Alta",AB394="Menor")),"Moderado",IF(OR(AND(Z394="Muy Baja",AB394="Mayor"),AND(Z394="Baja",AB394="Mayor"),AND(Z394="Media",AB394="Mayor"),AND(Z394="Alta",AB394="Moderado"),AND(Z394="Alta",AB394="Mayor"),AND(Z394="Muy Alta",AB394="Leve"),AND(Z394="Muy Alta",AB394="Menor"),AND(Z394="Muy Alta",AB394="Moderado"),AND(Z394="Muy Alta",AB394="Mayor")),"Alto",IF(OR(AND(Z394="Muy Baja",AB394="Catastrófico"),AND(Z394="Baja",AB394="Catastrófico"),AND(Z394="Media",AB394="Catastrófico"),AND(Z394="Alta",AB394="Catastrófico"),AND(Z394="Muy Alta",AB394="Catastrófico")),"Extremo","")))),"")</f>
        <v>Alto</v>
      </c>
      <c r="AE394" s="234" t="s">
        <v>257</v>
      </c>
      <c r="AF394" s="223" t="s">
        <v>1014</v>
      </c>
      <c r="AG394" s="236" t="s">
        <v>1003</v>
      </c>
      <c r="AH394" s="236" t="s">
        <v>1004</v>
      </c>
      <c r="AI394" s="171" t="s">
        <v>1015</v>
      </c>
      <c r="AJ394" s="236" t="s">
        <v>1016</v>
      </c>
      <c r="AK394" s="172" t="s">
        <v>1007</v>
      </c>
      <c r="AL394" s="172" t="s">
        <v>433</v>
      </c>
      <c r="AM394" s="351"/>
      <c r="AN394" s="351"/>
    </row>
    <row r="395" spans="1:40" ht="67.5">
      <c r="A395" s="342"/>
      <c r="B395" s="345"/>
      <c r="C395" s="345"/>
      <c r="D395" s="345"/>
      <c r="E395" s="345"/>
      <c r="F395" s="348"/>
      <c r="G395" s="345"/>
      <c r="H395" s="351"/>
      <c r="I395" s="354"/>
      <c r="J395" s="357"/>
      <c r="K395" s="360"/>
      <c r="L395" s="357">
        <f ca="1">IF(NOT(ISERROR(MATCH(K395,_xlfn.ANCHORARRAY(F406),0))),J408&amp;"Por favor no seleccionar los criterios de impacto",K395)</f>
        <v>0</v>
      </c>
      <c r="M395" s="354"/>
      <c r="N395" s="357"/>
      <c r="O395" s="363"/>
      <c r="P395" s="226">
        <v>5</v>
      </c>
      <c r="Q395" s="224" t="s">
        <v>1017</v>
      </c>
      <c r="R395" s="227" t="str">
        <f t="shared" si="142"/>
        <v>Probabilidad</v>
      </c>
      <c r="S395" s="228" t="s">
        <v>15</v>
      </c>
      <c r="T395" s="228" t="s">
        <v>9</v>
      </c>
      <c r="U395" s="229" t="str">
        <f t="shared" si="137"/>
        <v>30%</v>
      </c>
      <c r="V395" s="228" t="s">
        <v>19</v>
      </c>
      <c r="W395" s="228" t="s">
        <v>22</v>
      </c>
      <c r="X395" s="228" t="s">
        <v>111</v>
      </c>
      <c r="Y395" s="230">
        <f t="shared" si="143"/>
        <v>5.4431999999999994E-2</v>
      </c>
      <c r="Z395" s="231" t="str">
        <f t="shared" si="138"/>
        <v>Muy Baja</v>
      </c>
      <c r="AA395" s="232">
        <f t="shared" si="139"/>
        <v>5.4431999999999994E-2</v>
      </c>
      <c r="AB395" s="231" t="str">
        <f t="shared" si="140"/>
        <v>Mayor</v>
      </c>
      <c r="AC395" s="232">
        <f t="shared" si="144"/>
        <v>0.8</v>
      </c>
      <c r="AD395" s="233" t="str">
        <f t="shared" si="141"/>
        <v>Alto</v>
      </c>
      <c r="AE395" s="234" t="s">
        <v>257</v>
      </c>
      <c r="AF395" s="223" t="s">
        <v>1018</v>
      </c>
      <c r="AG395" s="236" t="s">
        <v>1003</v>
      </c>
      <c r="AH395" s="236" t="s">
        <v>1004</v>
      </c>
      <c r="AI395" s="236" t="s">
        <v>1005</v>
      </c>
      <c r="AJ395" s="236" t="s">
        <v>1006</v>
      </c>
      <c r="AK395" s="172" t="s">
        <v>1007</v>
      </c>
      <c r="AL395" s="172" t="s">
        <v>433</v>
      </c>
      <c r="AM395" s="351"/>
      <c r="AN395" s="351"/>
    </row>
    <row r="396" spans="1:40" ht="48">
      <c r="A396" s="343"/>
      <c r="B396" s="346"/>
      <c r="C396" s="346"/>
      <c r="D396" s="346"/>
      <c r="E396" s="346"/>
      <c r="F396" s="349"/>
      <c r="G396" s="346"/>
      <c r="H396" s="352"/>
      <c r="I396" s="355"/>
      <c r="J396" s="358"/>
      <c r="K396" s="361"/>
      <c r="L396" s="358">
        <f ca="1">IF(NOT(ISERROR(MATCH(K396,_xlfn.ANCHORARRAY(F407),0))),J409&amp;"Por favor no seleccionar los criterios de impacto",K396)</f>
        <v>0</v>
      </c>
      <c r="M396" s="355"/>
      <c r="N396" s="358"/>
      <c r="O396" s="364"/>
      <c r="P396" s="226">
        <v>6</v>
      </c>
      <c r="Q396" s="219" t="s">
        <v>1019</v>
      </c>
      <c r="R396" s="227" t="str">
        <f t="shared" si="142"/>
        <v>Probabilidad</v>
      </c>
      <c r="S396" s="228" t="s">
        <v>14</v>
      </c>
      <c r="T396" s="228" t="s">
        <v>9</v>
      </c>
      <c r="U396" s="229" t="str">
        <f t="shared" si="137"/>
        <v>40%</v>
      </c>
      <c r="V396" s="228" t="s">
        <v>19</v>
      </c>
      <c r="W396" s="228" t="s">
        <v>22</v>
      </c>
      <c r="X396" s="228" t="s">
        <v>111</v>
      </c>
      <c r="Y396" s="230">
        <f t="shared" si="143"/>
        <v>3.2659199999999999E-2</v>
      </c>
      <c r="Z396" s="231" t="str">
        <f t="shared" si="138"/>
        <v>Muy Baja</v>
      </c>
      <c r="AA396" s="232">
        <f t="shared" si="139"/>
        <v>3.2659199999999999E-2</v>
      </c>
      <c r="AB396" s="231" t="str">
        <f t="shared" si="140"/>
        <v>Mayor</v>
      </c>
      <c r="AC396" s="232">
        <f t="shared" si="144"/>
        <v>0.8</v>
      </c>
      <c r="AD396" s="233" t="str">
        <f t="shared" si="141"/>
        <v>Alto</v>
      </c>
      <c r="AE396" s="234" t="s">
        <v>257</v>
      </c>
      <c r="AF396" s="223" t="s">
        <v>1020</v>
      </c>
      <c r="AG396" s="236" t="s">
        <v>1003</v>
      </c>
      <c r="AH396" s="236" t="s">
        <v>1004</v>
      </c>
      <c r="AI396" s="236" t="s">
        <v>1005</v>
      </c>
      <c r="AJ396" s="236" t="s">
        <v>1006</v>
      </c>
      <c r="AK396" s="172" t="s">
        <v>1007</v>
      </c>
      <c r="AL396" s="172" t="s">
        <v>433</v>
      </c>
      <c r="AM396" s="352"/>
      <c r="AN396" s="352"/>
    </row>
    <row r="397" spans="1:40" ht="135">
      <c r="A397" s="341">
        <v>65</v>
      </c>
      <c r="B397" s="344" t="s">
        <v>217</v>
      </c>
      <c r="C397" s="344" t="s">
        <v>125</v>
      </c>
      <c r="D397" s="344" t="s">
        <v>1021</v>
      </c>
      <c r="E397" s="344" t="s">
        <v>1022</v>
      </c>
      <c r="F397" s="347" t="s">
        <v>1023</v>
      </c>
      <c r="G397" s="344" t="s">
        <v>115</v>
      </c>
      <c r="H397" s="350">
        <v>365</v>
      </c>
      <c r="I397" s="353" t="s">
        <v>99</v>
      </c>
      <c r="J397" s="356">
        <v>0.6</v>
      </c>
      <c r="K397" s="359" t="s">
        <v>136</v>
      </c>
      <c r="L397" s="356" t="s">
        <v>136</v>
      </c>
      <c r="M397" s="353" t="s">
        <v>77</v>
      </c>
      <c r="N397" s="356">
        <v>0.6</v>
      </c>
      <c r="O397" s="362" t="s">
        <v>77</v>
      </c>
      <c r="P397" s="226">
        <v>1</v>
      </c>
      <c r="Q397" s="224" t="s">
        <v>1024</v>
      </c>
      <c r="R397" s="227" t="s">
        <v>4</v>
      </c>
      <c r="S397" s="228" t="s">
        <v>14</v>
      </c>
      <c r="T397" s="228" t="s">
        <v>9</v>
      </c>
      <c r="U397" s="229" t="s">
        <v>346</v>
      </c>
      <c r="V397" s="228" t="s">
        <v>19</v>
      </c>
      <c r="W397" s="228" t="s">
        <v>22</v>
      </c>
      <c r="X397" s="228" t="s">
        <v>111</v>
      </c>
      <c r="Y397" s="230">
        <f>IFERROR(IF(R397="Probabilidad",(J397-(+J397*U397)),IF(R397="Impacto",J397,"")),"")</f>
        <v>0.36</v>
      </c>
      <c r="Z397" s="231" t="s">
        <v>49</v>
      </c>
      <c r="AA397" s="232">
        <v>0.36</v>
      </c>
      <c r="AB397" s="231" t="s">
        <v>77</v>
      </c>
      <c r="AC397" s="232">
        <v>0.6</v>
      </c>
      <c r="AD397" s="233" t="s">
        <v>77</v>
      </c>
      <c r="AE397" s="234" t="s">
        <v>257</v>
      </c>
      <c r="AF397" s="235" t="s">
        <v>1025</v>
      </c>
      <c r="AG397" s="236" t="s">
        <v>1026</v>
      </c>
      <c r="AH397" s="236" t="s">
        <v>1027</v>
      </c>
      <c r="AI397" s="236" t="s">
        <v>1028</v>
      </c>
      <c r="AJ397" s="236" t="s">
        <v>1029</v>
      </c>
      <c r="AK397" s="237">
        <v>44926</v>
      </c>
      <c r="AL397" s="237">
        <v>44926</v>
      </c>
      <c r="AM397" s="350">
        <v>4075</v>
      </c>
      <c r="AN397" s="350"/>
    </row>
    <row r="398" spans="1:40" ht="121.5">
      <c r="A398" s="342"/>
      <c r="B398" s="345"/>
      <c r="C398" s="345"/>
      <c r="D398" s="345"/>
      <c r="E398" s="345"/>
      <c r="F398" s="348"/>
      <c r="G398" s="345"/>
      <c r="H398" s="351"/>
      <c r="I398" s="354"/>
      <c r="J398" s="357"/>
      <c r="K398" s="360"/>
      <c r="L398" s="357">
        <v>0</v>
      </c>
      <c r="M398" s="354"/>
      <c r="N398" s="357"/>
      <c r="O398" s="363"/>
      <c r="P398" s="226">
        <v>2</v>
      </c>
      <c r="Q398" s="224" t="s">
        <v>1030</v>
      </c>
      <c r="R398" s="227" t="s">
        <v>4</v>
      </c>
      <c r="S398" s="228" t="s">
        <v>14</v>
      </c>
      <c r="T398" s="228" t="s">
        <v>9</v>
      </c>
      <c r="U398" s="229" t="s">
        <v>346</v>
      </c>
      <c r="V398" s="228" t="s">
        <v>19</v>
      </c>
      <c r="W398" s="228" t="s">
        <v>22</v>
      </c>
      <c r="X398" s="228" t="s">
        <v>111</v>
      </c>
      <c r="Y398" s="230">
        <f>IFERROR(IF(AND(R397="Probabilidad",R398="Probabilidad"),(AA397-(+AA397*U398)),IF(R398="Probabilidad",(J397-(+J397*U398)),IF(R398="Impacto",AA397,""))),"")</f>
        <v>0.216</v>
      </c>
      <c r="Z398" s="231" t="s">
        <v>49</v>
      </c>
      <c r="AA398" s="232">
        <v>0.216</v>
      </c>
      <c r="AB398" s="231" t="s">
        <v>77</v>
      </c>
      <c r="AC398" s="232">
        <v>0.6</v>
      </c>
      <c r="AD398" s="233" t="s">
        <v>77</v>
      </c>
      <c r="AE398" s="234" t="s">
        <v>257</v>
      </c>
      <c r="AF398" s="235" t="s">
        <v>1031</v>
      </c>
      <c r="AG398" s="236" t="s">
        <v>1026</v>
      </c>
      <c r="AH398" s="236" t="s">
        <v>1027</v>
      </c>
      <c r="AI398" s="236" t="s">
        <v>1028</v>
      </c>
      <c r="AJ398" s="236" t="s">
        <v>1029</v>
      </c>
      <c r="AK398" s="237">
        <v>44926</v>
      </c>
      <c r="AL398" s="237">
        <v>44926</v>
      </c>
      <c r="AM398" s="351"/>
      <c r="AN398" s="351"/>
    </row>
    <row r="399" spans="1:40">
      <c r="A399" s="342"/>
      <c r="B399" s="345"/>
      <c r="C399" s="345"/>
      <c r="D399" s="345"/>
      <c r="E399" s="345"/>
      <c r="F399" s="348"/>
      <c r="G399" s="345"/>
      <c r="H399" s="351"/>
      <c r="I399" s="354"/>
      <c r="J399" s="357"/>
      <c r="K399" s="360"/>
      <c r="L399" s="357">
        <v>0</v>
      </c>
      <c r="M399" s="354"/>
      <c r="N399" s="357"/>
      <c r="O399" s="363"/>
      <c r="P399" s="226">
        <v>3</v>
      </c>
      <c r="Q399" s="224"/>
      <c r="R399" s="227" t="s">
        <v>361</v>
      </c>
      <c r="S399" s="228"/>
      <c r="T399" s="228"/>
      <c r="U399" s="229" t="s">
        <v>361</v>
      </c>
      <c r="V399" s="228"/>
      <c r="W399" s="228"/>
      <c r="X399" s="228"/>
      <c r="Y399" s="230" t="str">
        <f>IFERROR(IF(AND(R398="Probabilidad",R399="Probabilidad"),(AA398-(+AA398*U399)),IF(AND(R398="Impacto",R399="Probabilidad"),(AA397-(+AA397*U399)),IF(R399="Impacto",AA398,""))),"")</f>
        <v/>
      </c>
      <c r="Z399" s="231" t="s">
        <v>361</v>
      </c>
      <c r="AA399" s="232" t="s">
        <v>361</v>
      </c>
      <c r="AB399" s="231" t="s">
        <v>361</v>
      </c>
      <c r="AC399" s="232" t="s">
        <v>361</v>
      </c>
      <c r="AD399" s="233" t="s">
        <v>361</v>
      </c>
      <c r="AE399" s="234"/>
      <c r="AF399" s="235"/>
      <c r="AG399" s="236"/>
      <c r="AH399" s="236"/>
      <c r="AI399" s="236"/>
      <c r="AJ399" s="236"/>
      <c r="AK399" s="237"/>
      <c r="AL399" s="237"/>
      <c r="AM399" s="351"/>
      <c r="AN399" s="351"/>
    </row>
    <row r="400" spans="1:40">
      <c r="A400" s="342"/>
      <c r="B400" s="345"/>
      <c r="C400" s="345"/>
      <c r="D400" s="345"/>
      <c r="E400" s="345"/>
      <c r="F400" s="348"/>
      <c r="G400" s="345"/>
      <c r="H400" s="351"/>
      <c r="I400" s="354"/>
      <c r="J400" s="357"/>
      <c r="K400" s="360"/>
      <c r="L400" s="357">
        <v>0</v>
      </c>
      <c r="M400" s="354"/>
      <c r="N400" s="357"/>
      <c r="O400" s="363"/>
      <c r="P400" s="226">
        <v>4</v>
      </c>
      <c r="Q400" s="224"/>
      <c r="R400" s="227" t="s">
        <v>361</v>
      </c>
      <c r="S400" s="228"/>
      <c r="T400" s="228"/>
      <c r="U400" s="229" t="s">
        <v>361</v>
      </c>
      <c r="V400" s="228"/>
      <c r="W400" s="228"/>
      <c r="X400" s="228"/>
      <c r="Y400" s="230" t="str">
        <f t="shared" ref="Y400:Y402" si="145">IFERROR(IF(AND(R399="Probabilidad",R400="Probabilidad"),(AA399-(+AA399*U400)),IF(AND(R399="Impacto",R400="Probabilidad"),(AA398-(+AA398*U400)),IF(R400="Impacto",AA399,""))),"")</f>
        <v/>
      </c>
      <c r="Z400" s="231" t="s">
        <v>361</v>
      </c>
      <c r="AA400" s="232" t="s">
        <v>361</v>
      </c>
      <c r="AB400" s="231" t="s">
        <v>361</v>
      </c>
      <c r="AC400" s="232" t="s">
        <v>361</v>
      </c>
      <c r="AD400" s="233" t="s">
        <v>361</v>
      </c>
      <c r="AE400" s="234"/>
      <c r="AF400" s="235"/>
      <c r="AG400" s="236"/>
      <c r="AH400" s="236"/>
      <c r="AI400" s="236"/>
      <c r="AJ400" s="236"/>
      <c r="AK400" s="237"/>
      <c r="AL400" s="237"/>
      <c r="AM400" s="351"/>
      <c r="AN400" s="351"/>
    </row>
    <row r="401" spans="1:40">
      <c r="A401" s="342"/>
      <c r="B401" s="345"/>
      <c r="C401" s="345"/>
      <c r="D401" s="345"/>
      <c r="E401" s="345"/>
      <c r="F401" s="348"/>
      <c r="G401" s="345"/>
      <c r="H401" s="351"/>
      <c r="I401" s="354"/>
      <c r="J401" s="357"/>
      <c r="K401" s="360"/>
      <c r="L401" s="357">
        <v>0</v>
      </c>
      <c r="M401" s="354"/>
      <c r="N401" s="357"/>
      <c r="O401" s="363"/>
      <c r="P401" s="226">
        <v>5</v>
      </c>
      <c r="Q401" s="224"/>
      <c r="R401" s="227" t="s">
        <v>361</v>
      </c>
      <c r="S401" s="228"/>
      <c r="T401" s="228"/>
      <c r="U401" s="229" t="s">
        <v>361</v>
      </c>
      <c r="V401" s="228"/>
      <c r="W401" s="228"/>
      <c r="X401" s="228"/>
      <c r="Y401" s="230" t="str">
        <f t="shared" si="145"/>
        <v/>
      </c>
      <c r="Z401" s="231" t="s">
        <v>361</v>
      </c>
      <c r="AA401" s="232" t="s">
        <v>361</v>
      </c>
      <c r="AB401" s="231" t="s">
        <v>361</v>
      </c>
      <c r="AC401" s="232" t="s">
        <v>361</v>
      </c>
      <c r="AD401" s="233" t="s">
        <v>361</v>
      </c>
      <c r="AE401" s="234"/>
      <c r="AF401" s="235"/>
      <c r="AG401" s="236"/>
      <c r="AH401" s="236"/>
      <c r="AI401" s="236"/>
      <c r="AJ401" s="236"/>
      <c r="AK401" s="237"/>
      <c r="AL401" s="237"/>
      <c r="AM401" s="351"/>
      <c r="AN401" s="351"/>
    </row>
    <row r="402" spans="1:40">
      <c r="A402" s="343"/>
      <c r="B402" s="346"/>
      <c r="C402" s="346"/>
      <c r="D402" s="346"/>
      <c r="E402" s="346"/>
      <c r="F402" s="349"/>
      <c r="G402" s="346"/>
      <c r="H402" s="352"/>
      <c r="I402" s="355"/>
      <c r="J402" s="358"/>
      <c r="K402" s="361"/>
      <c r="L402" s="358">
        <v>0</v>
      </c>
      <c r="M402" s="355"/>
      <c r="N402" s="358"/>
      <c r="O402" s="364"/>
      <c r="P402" s="226">
        <v>6</v>
      </c>
      <c r="Q402" s="224"/>
      <c r="R402" s="227" t="s">
        <v>361</v>
      </c>
      <c r="S402" s="228"/>
      <c r="T402" s="228"/>
      <c r="U402" s="229" t="s">
        <v>361</v>
      </c>
      <c r="V402" s="228"/>
      <c r="W402" s="228"/>
      <c r="X402" s="228"/>
      <c r="Y402" s="230" t="str">
        <f t="shared" si="145"/>
        <v/>
      </c>
      <c r="Z402" s="231" t="s">
        <v>361</v>
      </c>
      <c r="AA402" s="232" t="s">
        <v>361</v>
      </c>
      <c r="AB402" s="231" t="s">
        <v>361</v>
      </c>
      <c r="AC402" s="232" t="s">
        <v>361</v>
      </c>
      <c r="AD402" s="233" t="s">
        <v>361</v>
      </c>
      <c r="AE402" s="234"/>
      <c r="AF402" s="235"/>
      <c r="AG402" s="236"/>
      <c r="AH402" s="236"/>
      <c r="AI402" s="236"/>
      <c r="AJ402" s="236"/>
      <c r="AK402" s="237"/>
      <c r="AL402" s="237"/>
      <c r="AM402" s="352"/>
      <c r="AN402" s="352"/>
    </row>
    <row r="403" spans="1:40" ht="108">
      <c r="A403" s="341">
        <v>66</v>
      </c>
      <c r="B403" s="344" t="s">
        <v>217</v>
      </c>
      <c r="C403" s="344" t="s">
        <v>123</v>
      </c>
      <c r="D403" s="344" t="s">
        <v>1032</v>
      </c>
      <c r="E403" s="344" t="s">
        <v>1033</v>
      </c>
      <c r="F403" s="347" t="s">
        <v>1034</v>
      </c>
      <c r="G403" s="344" t="s">
        <v>120</v>
      </c>
      <c r="H403" s="350">
        <v>52</v>
      </c>
      <c r="I403" s="353" t="s">
        <v>99</v>
      </c>
      <c r="J403" s="356">
        <v>0.6</v>
      </c>
      <c r="K403" s="359" t="s">
        <v>142</v>
      </c>
      <c r="L403" s="356" t="s">
        <v>142</v>
      </c>
      <c r="M403" s="353" t="s">
        <v>77</v>
      </c>
      <c r="N403" s="356">
        <v>0.6</v>
      </c>
      <c r="O403" s="362" t="s">
        <v>77</v>
      </c>
      <c r="P403" s="226">
        <v>1</v>
      </c>
      <c r="Q403" s="224" t="s">
        <v>1035</v>
      </c>
      <c r="R403" s="227" t="s">
        <v>4</v>
      </c>
      <c r="S403" s="228" t="s">
        <v>14</v>
      </c>
      <c r="T403" s="228" t="s">
        <v>9</v>
      </c>
      <c r="U403" s="229" t="s">
        <v>346</v>
      </c>
      <c r="V403" s="228" t="s">
        <v>19</v>
      </c>
      <c r="W403" s="228" t="s">
        <v>23</v>
      </c>
      <c r="X403" s="228" t="s">
        <v>111</v>
      </c>
      <c r="Y403" s="230">
        <f>IFERROR(IF(R403="Probabilidad",(J403-(+J403*U403)),IF(R403="Impacto",J403,"")),"")</f>
        <v>0.36</v>
      </c>
      <c r="Z403" s="231" t="s">
        <v>49</v>
      </c>
      <c r="AA403" s="232">
        <v>0.36</v>
      </c>
      <c r="AB403" s="231" t="s">
        <v>77</v>
      </c>
      <c r="AC403" s="232">
        <v>0.6</v>
      </c>
      <c r="AD403" s="233" t="s">
        <v>77</v>
      </c>
      <c r="AE403" s="234" t="s">
        <v>257</v>
      </c>
      <c r="AF403" s="235" t="s">
        <v>1036</v>
      </c>
      <c r="AG403" s="236" t="s">
        <v>1037</v>
      </c>
      <c r="AH403" s="236" t="s">
        <v>1038</v>
      </c>
      <c r="AI403" s="236" t="s">
        <v>1028</v>
      </c>
      <c r="AJ403" s="236" t="s">
        <v>1029</v>
      </c>
      <c r="AK403" s="237">
        <v>44926</v>
      </c>
      <c r="AL403" s="237">
        <v>44926</v>
      </c>
      <c r="AM403" s="350">
        <v>4080</v>
      </c>
      <c r="AN403" s="350"/>
    </row>
    <row r="404" spans="1:40">
      <c r="A404" s="342"/>
      <c r="B404" s="345"/>
      <c r="C404" s="345"/>
      <c r="D404" s="345"/>
      <c r="E404" s="345"/>
      <c r="F404" s="348"/>
      <c r="G404" s="345"/>
      <c r="H404" s="351"/>
      <c r="I404" s="354"/>
      <c r="J404" s="357"/>
      <c r="K404" s="360"/>
      <c r="L404" s="357">
        <v>0</v>
      </c>
      <c r="M404" s="354"/>
      <c r="N404" s="357"/>
      <c r="O404" s="363"/>
      <c r="P404" s="226">
        <v>2</v>
      </c>
      <c r="Q404" s="224"/>
      <c r="R404" s="227" t="s">
        <v>361</v>
      </c>
      <c r="S404" s="228"/>
      <c r="T404" s="228"/>
      <c r="U404" s="229" t="s">
        <v>361</v>
      </c>
      <c r="V404" s="228"/>
      <c r="W404" s="228"/>
      <c r="X404" s="228"/>
      <c r="Y404" s="230" t="str">
        <f>IFERROR(IF(AND(R403="Probabilidad",R404="Probabilidad"),(AA403-(+AA403*U404)),IF(R404="Probabilidad",(J403-(+J403*U404)),IF(R404="Impacto",AA403,""))),"")</f>
        <v/>
      </c>
      <c r="Z404" s="231" t="s">
        <v>361</v>
      </c>
      <c r="AA404" s="232" t="s">
        <v>361</v>
      </c>
      <c r="AB404" s="231" t="s">
        <v>361</v>
      </c>
      <c r="AC404" s="232" t="s">
        <v>361</v>
      </c>
      <c r="AD404" s="233" t="s">
        <v>361</v>
      </c>
      <c r="AE404" s="234"/>
      <c r="AF404" s="235"/>
      <c r="AG404" s="236"/>
      <c r="AH404" s="236"/>
      <c r="AI404" s="236"/>
      <c r="AJ404" s="236"/>
      <c r="AK404" s="237"/>
      <c r="AL404" s="237"/>
      <c r="AM404" s="351"/>
      <c r="AN404" s="351"/>
    </row>
    <row r="405" spans="1:40">
      <c r="A405" s="342"/>
      <c r="B405" s="345"/>
      <c r="C405" s="345"/>
      <c r="D405" s="345"/>
      <c r="E405" s="345"/>
      <c r="F405" s="348"/>
      <c r="G405" s="345"/>
      <c r="H405" s="351"/>
      <c r="I405" s="354"/>
      <c r="J405" s="357"/>
      <c r="K405" s="360"/>
      <c r="L405" s="357">
        <v>0</v>
      </c>
      <c r="M405" s="354"/>
      <c r="N405" s="357"/>
      <c r="O405" s="363"/>
      <c r="P405" s="226">
        <v>3</v>
      </c>
      <c r="Q405" s="225"/>
      <c r="R405" s="227" t="s">
        <v>361</v>
      </c>
      <c r="S405" s="228"/>
      <c r="T405" s="228"/>
      <c r="U405" s="229" t="s">
        <v>361</v>
      </c>
      <c r="V405" s="228"/>
      <c r="W405" s="228"/>
      <c r="X405" s="228"/>
      <c r="Y405" s="230" t="str">
        <f>IFERROR(IF(AND(R404="Probabilidad",R405="Probabilidad"),(AA404-(+AA404*U405)),IF(AND(R404="Impacto",R405="Probabilidad"),(AA403-(+AA403*U405)),IF(R405="Impacto",AA404,""))),"")</f>
        <v/>
      </c>
      <c r="Z405" s="231" t="s">
        <v>361</v>
      </c>
      <c r="AA405" s="232" t="s">
        <v>361</v>
      </c>
      <c r="AB405" s="231" t="s">
        <v>361</v>
      </c>
      <c r="AC405" s="232" t="s">
        <v>361</v>
      </c>
      <c r="AD405" s="233" t="s">
        <v>361</v>
      </c>
      <c r="AE405" s="234"/>
      <c r="AF405" s="235"/>
      <c r="AG405" s="236"/>
      <c r="AH405" s="236"/>
      <c r="AI405" s="236"/>
      <c r="AJ405" s="236"/>
      <c r="AK405" s="237"/>
      <c r="AL405" s="237"/>
      <c r="AM405" s="351"/>
      <c r="AN405" s="351"/>
    </row>
    <row r="406" spans="1:40">
      <c r="A406" s="342"/>
      <c r="B406" s="345"/>
      <c r="C406" s="345"/>
      <c r="D406" s="345"/>
      <c r="E406" s="345"/>
      <c r="F406" s="348"/>
      <c r="G406" s="345"/>
      <c r="H406" s="351"/>
      <c r="I406" s="354"/>
      <c r="J406" s="357"/>
      <c r="K406" s="360"/>
      <c r="L406" s="357">
        <v>0</v>
      </c>
      <c r="M406" s="354"/>
      <c r="N406" s="357"/>
      <c r="O406" s="363"/>
      <c r="P406" s="226">
        <v>4</v>
      </c>
      <c r="Q406" s="224"/>
      <c r="R406" s="227" t="s">
        <v>361</v>
      </c>
      <c r="S406" s="228"/>
      <c r="T406" s="228"/>
      <c r="U406" s="229" t="s">
        <v>361</v>
      </c>
      <c r="V406" s="228"/>
      <c r="W406" s="228"/>
      <c r="X406" s="228"/>
      <c r="Y406" s="230" t="str">
        <f t="shared" ref="Y406:Y408" si="146">IFERROR(IF(AND(R405="Probabilidad",R406="Probabilidad"),(AA405-(+AA405*U406)),IF(AND(R405="Impacto",R406="Probabilidad"),(AA404-(+AA404*U406)),IF(R406="Impacto",AA405,""))),"")</f>
        <v/>
      </c>
      <c r="Z406" s="231" t="s">
        <v>361</v>
      </c>
      <c r="AA406" s="232" t="s">
        <v>361</v>
      </c>
      <c r="AB406" s="231" t="s">
        <v>361</v>
      </c>
      <c r="AC406" s="232" t="s">
        <v>361</v>
      </c>
      <c r="AD406" s="233" t="s">
        <v>361</v>
      </c>
      <c r="AE406" s="234"/>
      <c r="AF406" s="235"/>
      <c r="AG406" s="236"/>
      <c r="AH406" s="236"/>
      <c r="AI406" s="236"/>
      <c r="AJ406" s="236"/>
      <c r="AK406" s="237"/>
      <c r="AL406" s="237"/>
      <c r="AM406" s="351"/>
      <c r="AN406" s="351"/>
    </row>
    <row r="407" spans="1:40">
      <c r="A407" s="342"/>
      <c r="B407" s="345"/>
      <c r="C407" s="345"/>
      <c r="D407" s="345"/>
      <c r="E407" s="345"/>
      <c r="F407" s="348"/>
      <c r="G407" s="345"/>
      <c r="H407" s="351"/>
      <c r="I407" s="354"/>
      <c r="J407" s="357"/>
      <c r="K407" s="360"/>
      <c r="L407" s="357">
        <v>0</v>
      </c>
      <c r="M407" s="354"/>
      <c r="N407" s="357"/>
      <c r="O407" s="363"/>
      <c r="P407" s="226">
        <v>5</v>
      </c>
      <c r="Q407" s="224"/>
      <c r="R407" s="227" t="s">
        <v>361</v>
      </c>
      <c r="S407" s="228"/>
      <c r="T407" s="228"/>
      <c r="U407" s="229" t="s">
        <v>361</v>
      </c>
      <c r="V407" s="228"/>
      <c r="W407" s="228"/>
      <c r="X407" s="228"/>
      <c r="Y407" s="230" t="str">
        <f t="shared" si="146"/>
        <v/>
      </c>
      <c r="Z407" s="231" t="s">
        <v>361</v>
      </c>
      <c r="AA407" s="232" t="s">
        <v>361</v>
      </c>
      <c r="AB407" s="231" t="s">
        <v>361</v>
      </c>
      <c r="AC407" s="232" t="s">
        <v>361</v>
      </c>
      <c r="AD407" s="233" t="s">
        <v>361</v>
      </c>
      <c r="AE407" s="234"/>
      <c r="AF407" s="235"/>
      <c r="AG407" s="236"/>
      <c r="AH407" s="236"/>
      <c r="AI407" s="236"/>
      <c r="AJ407" s="236"/>
      <c r="AK407" s="237"/>
      <c r="AL407" s="237"/>
      <c r="AM407" s="351"/>
      <c r="AN407" s="351"/>
    </row>
    <row r="408" spans="1:40">
      <c r="A408" s="343"/>
      <c r="B408" s="346"/>
      <c r="C408" s="346"/>
      <c r="D408" s="346"/>
      <c r="E408" s="346"/>
      <c r="F408" s="349"/>
      <c r="G408" s="346"/>
      <c r="H408" s="352"/>
      <c r="I408" s="355"/>
      <c r="J408" s="358"/>
      <c r="K408" s="361"/>
      <c r="L408" s="358">
        <v>0</v>
      </c>
      <c r="M408" s="355"/>
      <c r="N408" s="358"/>
      <c r="O408" s="364"/>
      <c r="P408" s="226">
        <v>6</v>
      </c>
      <c r="Q408" s="224"/>
      <c r="R408" s="227" t="s">
        <v>361</v>
      </c>
      <c r="S408" s="228"/>
      <c r="T408" s="228"/>
      <c r="U408" s="229" t="s">
        <v>361</v>
      </c>
      <c r="V408" s="228"/>
      <c r="W408" s="228"/>
      <c r="X408" s="228"/>
      <c r="Y408" s="230" t="str">
        <f t="shared" si="146"/>
        <v/>
      </c>
      <c r="Z408" s="231" t="s">
        <v>361</v>
      </c>
      <c r="AA408" s="232" t="s">
        <v>361</v>
      </c>
      <c r="AB408" s="231" t="s">
        <v>361</v>
      </c>
      <c r="AC408" s="232" t="s">
        <v>361</v>
      </c>
      <c r="AD408" s="233" t="s">
        <v>361</v>
      </c>
      <c r="AE408" s="234"/>
      <c r="AF408" s="235"/>
      <c r="AG408" s="236"/>
      <c r="AH408" s="236"/>
      <c r="AI408" s="236"/>
      <c r="AJ408" s="236"/>
      <c r="AK408" s="237"/>
      <c r="AL408" s="237"/>
      <c r="AM408" s="352"/>
      <c r="AN408" s="352"/>
    </row>
    <row r="409" spans="1:40" ht="94.5">
      <c r="A409" s="341">
        <v>67</v>
      </c>
      <c r="B409" s="344" t="s">
        <v>217</v>
      </c>
      <c r="C409" s="344" t="s">
        <v>125</v>
      </c>
      <c r="D409" s="344" t="s">
        <v>1039</v>
      </c>
      <c r="E409" s="344" t="s">
        <v>1040</v>
      </c>
      <c r="F409" s="347" t="s">
        <v>1041</v>
      </c>
      <c r="G409" s="344" t="s">
        <v>115</v>
      </c>
      <c r="H409" s="350">
        <v>52</v>
      </c>
      <c r="I409" s="353" t="s">
        <v>99</v>
      </c>
      <c r="J409" s="356">
        <v>0.6</v>
      </c>
      <c r="K409" s="359" t="s">
        <v>142</v>
      </c>
      <c r="L409" s="356" t="s">
        <v>142</v>
      </c>
      <c r="M409" s="353" t="s">
        <v>77</v>
      </c>
      <c r="N409" s="356">
        <v>0.6</v>
      </c>
      <c r="O409" s="362" t="s">
        <v>77</v>
      </c>
      <c r="P409" s="226">
        <v>1</v>
      </c>
      <c r="Q409" s="224" t="s">
        <v>1042</v>
      </c>
      <c r="R409" s="227" t="s">
        <v>4</v>
      </c>
      <c r="S409" s="228" t="s">
        <v>14</v>
      </c>
      <c r="T409" s="228" t="s">
        <v>9</v>
      </c>
      <c r="U409" s="229" t="s">
        <v>346</v>
      </c>
      <c r="V409" s="228" t="s">
        <v>19</v>
      </c>
      <c r="W409" s="228" t="s">
        <v>22</v>
      </c>
      <c r="X409" s="228" t="s">
        <v>111</v>
      </c>
      <c r="Y409" s="230">
        <f>IFERROR(IF(R409="Probabilidad",(J409-(+J409*U409)),IF(R409="Impacto",J409,"")),"")</f>
        <v>0.36</v>
      </c>
      <c r="Z409" s="231" t="s">
        <v>49</v>
      </c>
      <c r="AA409" s="232">
        <v>0.36</v>
      </c>
      <c r="AB409" s="231" t="s">
        <v>77</v>
      </c>
      <c r="AC409" s="232">
        <v>0.6</v>
      </c>
      <c r="AD409" s="233" t="s">
        <v>77</v>
      </c>
      <c r="AE409" s="234" t="s">
        <v>257</v>
      </c>
      <c r="AF409" s="235" t="s">
        <v>1043</v>
      </c>
      <c r="AG409" s="236" t="s">
        <v>1044</v>
      </c>
      <c r="AH409" s="236" t="s">
        <v>1045</v>
      </c>
      <c r="AI409" s="236" t="s">
        <v>1028</v>
      </c>
      <c r="AJ409" s="236" t="s">
        <v>1029</v>
      </c>
      <c r="AK409" s="237">
        <v>44926</v>
      </c>
      <c r="AL409" s="237">
        <v>44926</v>
      </c>
      <c r="AM409" s="350">
        <v>4084</v>
      </c>
      <c r="AN409" s="350"/>
    </row>
    <row r="410" spans="1:40" ht="81">
      <c r="A410" s="342"/>
      <c r="B410" s="345"/>
      <c r="C410" s="345"/>
      <c r="D410" s="345"/>
      <c r="E410" s="345"/>
      <c r="F410" s="348"/>
      <c r="G410" s="345"/>
      <c r="H410" s="351"/>
      <c r="I410" s="354"/>
      <c r="J410" s="357"/>
      <c r="K410" s="360"/>
      <c r="L410" s="357">
        <v>0</v>
      </c>
      <c r="M410" s="354"/>
      <c r="N410" s="357"/>
      <c r="O410" s="363"/>
      <c r="P410" s="226">
        <v>2</v>
      </c>
      <c r="Q410" s="224" t="s">
        <v>1046</v>
      </c>
      <c r="R410" s="227" t="s">
        <v>4</v>
      </c>
      <c r="S410" s="228" t="s">
        <v>14</v>
      </c>
      <c r="T410" s="228" t="s">
        <v>9</v>
      </c>
      <c r="U410" s="229" t="s">
        <v>346</v>
      </c>
      <c r="V410" s="228" t="s">
        <v>19</v>
      </c>
      <c r="W410" s="228" t="s">
        <v>22</v>
      </c>
      <c r="X410" s="228" t="s">
        <v>111</v>
      </c>
      <c r="Y410" s="230">
        <f>IFERROR(IF(AND(R409="Probabilidad",R410="Probabilidad"),(AA409-(+AA409*U410)),IF(R410="Probabilidad",(J409-(+J409*U410)),IF(R410="Impacto",AA409,""))),"")</f>
        <v>0.216</v>
      </c>
      <c r="Z410" s="231" t="s">
        <v>49</v>
      </c>
      <c r="AA410" s="232">
        <v>0.216</v>
      </c>
      <c r="AB410" s="231" t="s">
        <v>77</v>
      </c>
      <c r="AC410" s="232">
        <v>0.6</v>
      </c>
      <c r="AD410" s="233" t="s">
        <v>77</v>
      </c>
      <c r="AE410" s="234" t="s">
        <v>257</v>
      </c>
      <c r="AF410" s="235" t="s">
        <v>1047</v>
      </c>
      <c r="AG410" s="236" t="s">
        <v>1044</v>
      </c>
      <c r="AH410" s="236" t="s">
        <v>1045</v>
      </c>
      <c r="AI410" s="236" t="s">
        <v>1028</v>
      </c>
      <c r="AJ410" s="236" t="s">
        <v>1029</v>
      </c>
      <c r="AK410" s="237">
        <v>44926</v>
      </c>
      <c r="AL410" s="237">
        <v>44926</v>
      </c>
      <c r="AM410" s="351"/>
      <c r="AN410" s="351"/>
    </row>
    <row r="411" spans="1:40" ht="94.5">
      <c r="A411" s="342"/>
      <c r="B411" s="345"/>
      <c r="C411" s="345"/>
      <c r="D411" s="345"/>
      <c r="E411" s="345"/>
      <c r="F411" s="348"/>
      <c r="G411" s="345"/>
      <c r="H411" s="351"/>
      <c r="I411" s="354"/>
      <c r="J411" s="357"/>
      <c r="K411" s="360"/>
      <c r="L411" s="357">
        <v>0</v>
      </c>
      <c r="M411" s="354"/>
      <c r="N411" s="357"/>
      <c r="O411" s="363"/>
      <c r="P411" s="226">
        <v>3</v>
      </c>
      <c r="Q411" s="225" t="s">
        <v>1048</v>
      </c>
      <c r="R411" s="227" t="s">
        <v>4</v>
      </c>
      <c r="S411" s="228" t="s">
        <v>14</v>
      </c>
      <c r="T411" s="228" t="s">
        <v>9</v>
      </c>
      <c r="U411" s="229" t="s">
        <v>346</v>
      </c>
      <c r="V411" s="228" t="s">
        <v>19</v>
      </c>
      <c r="W411" s="228" t="s">
        <v>22</v>
      </c>
      <c r="X411" s="228" t="s">
        <v>111</v>
      </c>
      <c r="Y411" s="230">
        <f>IFERROR(IF(AND(R410="Probabilidad",R411="Probabilidad"),(AA410-(+AA410*U411)),IF(AND(R410="Impacto",R411="Probabilidad"),(AA409-(+AA409*U411)),IF(R411="Impacto",AA410,""))),"")</f>
        <v>0.12959999999999999</v>
      </c>
      <c r="Z411" s="231" t="s">
        <v>47</v>
      </c>
      <c r="AA411" s="232">
        <v>0.12959999999999999</v>
      </c>
      <c r="AB411" s="231" t="s">
        <v>77</v>
      </c>
      <c r="AC411" s="232">
        <v>0.6</v>
      </c>
      <c r="AD411" s="233" t="s">
        <v>77</v>
      </c>
      <c r="AE411" s="234" t="s">
        <v>257</v>
      </c>
      <c r="AF411" s="235" t="s">
        <v>1049</v>
      </c>
      <c r="AG411" s="236" t="s">
        <v>1044</v>
      </c>
      <c r="AH411" s="236" t="s">
        <v>1045</v>
      </c>
      <c r="AI411" s="236" t="s">
        <v>1028</v>
      </c>
      <c r="AJ411" s="236" t="s">
        <v>1029</v>
      </c>
      <c r="AK411" s="237">
        <v>44926</v>
      </c>
      <c r="AL411" s="237">
        <v>44926</v>
      </c>
      <c r="AM411" s="351"/>
      <c r="AN411" s="351"/>
    </row>
    <row r="412" spans="1:40">
      <c r="A412" s="342"/>
      <c r="B412" s="345"/>
      <c r="C412" s="345"/>
      <c r="D412" s="345"/>
      <c r="E412" s="345"/>
      <c r="F412" s="348"/>
      <c r="G412" s="345"/>
      <c r="H412" s="351"/>
      <c r="I412" s="354"/>
      <c r="J412" s="357"/>
      <c r="K412" s="360"/>
      <c r="L412" s="357">
        <v>0</v>
      </c>
      <c r="M412" s="354"/>
      <c r="N412" s="357"/>
      <c r="O412" s="363"/>
      <c r="P412" s="226">
        <v>4</v>
      </c>
      <c r="Q412" s="224"/>
      <c r="R412" s="227" t="s">
        <v>361</v>
      </c>
      <c r="S412" s="228"/>
      <c r="T412" s="228"/>
      <c r="U412" s="229" t="s">
        <v>361</v>
      </c>
      <c r="V412" s="228"/>
      <c r="W412" s="228"/>
      <c r="X412" s="228"/>
      <c r="Y412" s="230" t="str">
        <f t="shared" ref="Y412:Y414" si="147">IFERROR(IF(AND(R411="Probabilidad",R412="Probabilidad"),(AA411-(+AA411*U412)),IF(AND(R411="Impacto",R412="Probabilidad"),(AA410-(+AA410*U412)),IF(R412="Impacto",AA411,""))),"")</f>
        <v/>
      </c>
      <c r="Z412" s="231" t="s">
        <v>361</v>
      </c>
      <c r="AA412" s="232" t="s">
        <v>361</v>
      </c>
      <c r="AB412" s="231" t="s">
        <v>361</v>
      </c>
      <c r="AC412" s="232" t="s">
        <v>361</v>
      </c>
      <c r="AD412" s="233" t="s">
        <v>361</v>
      </c>
      <c r="AE412" s="234"/>
      <c r="AF412" s="235"/>
      <c r="AG412" s="236"/>
      <c r="AH412" s="236"/>
      <c r="AI412" s="236"/>
      <c r="AJ412" s="236"/>
      <c r="AK412" s="237"/>
      <c r="AL412" s="237"/>
      <c r="AM412" s="351"/>
      <c r="AN412" s="351"/>
    </row>
    <row r="413" spans="1:40">
      <c r="A413" s="342"/>
      <c r="B413" s="345"/>
      <c r="C413" s="345"/>
      <c r="D413" s="345"/>
      <c r="E413" s="345"/>
      <c r="F413" s="348"/>
      <c r="G413" s="345"/>
      <c r="H413" s="351"/>
      <c r="I413" s="354"/>
      <c r="J413" s="357"/>
      <c r="K413" s="360"/>
      <c r="L413" s="357">
        <v>0</v>
      </c>
      <c r="M413" s="354"/>
      <c r="N413" s="357"/>
      <c r="O413" s="363"/>
      <c r="P413" s="226">
        <v>5</v>
      </c>
      <c r="Q413" s="224"/>
      <c r="R413" s="227" t="s">
        <v>361</v>
      </c>
      <c r="S413" s="228"/>
      <c r="T413" s="228"/>
      <c r="U413" s="229" t="s">
        <v>361</v>
      </c>
      <c r="V413" s="228"/>
      <c r="W413" s="228"/>
      <c r="X413" s="228"/>
      <c r="Y413" s="230" t="str">
        <f t="shared" si="147"/>
        <v/>
      </c>
      <c r="Z413" s="231" t="s">
        <v>361</v>
      </c>
      <c r="AA413" s="232" t="s">
        <v>361</v>
      </c>
      <c r="AB413" s="231" t="s">
        <v>361</v>
      </c>
      <c r="AC413" s="232" t="s">
        <v>361</v>
      </c>
      <c r="AD413" s="233" t="s">
        <v>361</v>
      </c>
      <c r="AE413" s="234"/>
      <c r="AF413" s="235"/>
      <c r="AG413" s="236"/>
      <c r="AH413" s="236"/>
      <c r="AI413" s="236"/>
      <c r="AJ413" s="236"/>
      <c r="AK413" s="237"/>
      <c r="AL413" s="237"/>
      <c r="AM413" s="351"/>
      <c r="AN413" s="351"/>
    </row>
    <row r="414" spans="1:40">
      <c r="A414" s="343"/>
      <c r="B414" s="346"/>
      <c r="C414" s="346"/>
      <c r="D414" s="346"/>
      <c r="E414" s="346"/>
      <c r="F414" s="349"/>
      <c r="G414" s="346"/>
      <c r="H414" s="352"/>
      <c r="I414" s="355"/>
      <c r="J414" s="358"/>
      <c r="K414" s="361"/>
      <c r="L414" s="358">
        <v>0</v>
      </c>
      <c r="M414" s="355"/>
      <c r="N414" s="358"/>
      <c r="O414" s="364"/>
      <c r="P414" s="226">
        <v>6</v>
      </c>
      <c r="Q414" s="224"/>
      <c r="R414" s="227" t="s">
        <v>361</v>
      </c>
      <c r="S414" s="228"/>
      <c r="T414" s="228"/>
      <c r="U414" s="229" t="s">
        <v>361</v>
      </c>
      <c r="V414" s="228"/>
      <c r="W414" s="228"/>
      <c r="X414" s="228"/>
      <c r="Y414" s="230" t="str">
        <f t="shared" si="147"/>
        <v/>
      </c>
      <c r="Z414" s="231" t="s">
        <v>361</v>
      </c>
      <c r="AA414" s="232" t="s">
        <v>361</v>
      </c>
      <c r="AB414" s="231" t="s">
        <v>361</v>
      </c>
      <c r="AC414" s="232" t="s">
        <v>361</v>
      </c>
      <c r="AD414" s="233" t="s">
        <v>361</v>
      </c>
      <c r="AE414" s="234"/>
      <c r="AF414" s="235"/>
      <c r="AG414" s="236"/>
      <c r="AH414" s="236"/>
      <c r="AI414" s="236"/>
      <c r="AJ414" s="236"/>
      <c r="AK414" s="237"/>
      <c r="AL414" s="237"/>
      <c r="AM414" s="352"/>
      <c r="AN414" s="352"/>
    </row>
    <row r="415" spans="1:40" ht="94.5">
      <c r="A415" s="341">
        <v>68</v>
      </c>
      <c r="B415" s="344" t="s">
        <v>217</v>
      </c>
      <c r="C415" s="344" t="s">
        <v>125</v>
      </c>
      <c r="D415" s="344" t="s">
        <v>1050</v>
      </c>
      <c r="E415" s="344" t="s">
        <v>1051</v>
      </c>
      <c r="F415" s="347" t="s">
        <v>1052</v>
      </c>
      <c r="G415" s="344" t="s">
        <v>120</v>
      </c>
      <c r="H415" s="350">
        <v>40</v>
      </c>
      <c r="I415" s="353" t="s">
        <v>99</v>
      </c>
      <c r="J415" s="356">
        <v>0.6</v>
      </c>
      <c r="K415" s="359" t="s">
        <v>142</v>
      </c>
      <c r="L415" s="356" t="s">
        <v>142</v>
      </c>
      <c r="M415" s="353" t="s">
        <v>77</v>
      </c>
      <c r="N415" s="356">
        <v>0.6</v>
      </c>
      <c r="O415" s="362" t="s">
        <v>77</v>
      </c>
      <c r="P415" s="226">
        <v>1</v>
      </c>
      <c r="Q415" s="224" t="s">
        <v>1053</v>
      </c>
      <c r="R415" s="227" t="s">
        <v>2</v>
      </c>
      <c r="S415" s="228" t="s">
        <v>16</v>
      </c>
      <c r="T415" s="228" t="s">
        <v>9</v>
      </c>
      <c r="U415" s="229" t="s">
        <v>359</v>
      </c>
      <c r="V415" s="228" t="s">
        <v>19</v>
      </c>
      <c r="W415" s="228" t="s">
        <v>22</v>
      </c>
      <c r="X415" s="228" t="s">
        <v>111</v>
      </c>
      <c r="Y415" s="230">
        <f>IFERROR(IF(R415="Probabilidad",(J415-(+J415*U415)),IF(R415="Impacto",J415,"")),"")</f>
        <v>0.6</v>
      </c>
      <c r="Z415" s="231" t="s">
        <v>99</v>
      </c>
      <c r="AA415" s="232">
        <v>0.6</v>
      </c>
      <c r="AB415" s="231" t="s">
        <v>77</v>
      </c>
      <c r="AC415" s="232">
        <v>0.44999999999999996</v>
      </c>
      <c r="AD415" s="233" t="s">
        <v>77</v>
      </c>
      <c r="AE415" s="234" t="s">
        <v>257</v>
      </c>
      <c r="AF415" s="235" t="s">
        <v>1054</v>
      </c>
      <c r="AG415" s="171" t="s">
        <v>1055</v>
      </c>
      <c r="AH415" s="171" t="s">
        <v>1056</v>
      </c>
      <c r="AI415" s="236" t="s">
        <v>1028</v>
      </c>
      <c r="AJ415" s="236" t="s">
        <v>1029</v>
      </c>
      <c r="AK415" s="237">
        <v>44926</v>
      </c>
      <c r="AL415" s="237">
        <v>44926</v>
      </c>
      <c r="AM415" s="350">
        <v>4085</v>
      </c>
      <c r="AN415" s="350"/>
    </row>
    <row r="416" spans="1:40" ht="81">
      <c r="A416" s="342"/>
      <c r="B416" s="345"/>
      <c r="C416" s="345"/>
      <c r="D416" s="345"/>
      <c r="E416" s="345"/>
      <c r="F416" s="348"/>
      <c r="G416" s="345"/>
      <c r="H416" s="351"/>
      <c r="I416" s="354"/>
      <c r="J416" s="357"/>
      <c r="K416" s="360"/>
      <c r="L416" s="357">
        <v>0</v>
      </c>
      <c r="M416" s="354"/>
      <c r="N416" s="357"/>
      <c r="O416" s="363"/>
      <c r="P416" s="226">
        <v>2</v>
      </c>
      <c r="Q416" s="224"/>
      <c r="R416" s="227" t="s">
        <v>361</v>
      </c>
      <c r="S416" s="228"/>
      <c r="T416" s="228"/>
      <c r="U416" s="229" t="s">
        <v>361</v>
      </c>
      <c r="V416" s="228"/>
      <c r="W416" s="228"/>
      <c r="X416" s="228"/>
      <c r="Y416" s="230" t="str">
        <f>IFERROR(IF(AND(R415="Probabilidad",R416="Probabilidad"),(AA415-(+AA415*U416)),IF(R416="Probabilidad",(J415-(+J415*U416)),IF(R416="Impacto",AA415,""))),"")</f>
        <v/>
      </c>
      <c r="Z416" s="231" t="s">
        <v>361</v>
      </c>
      <c r="AA416" s="232" t="s">
        <v>361</v>
      </c>
      <c r="AB416" s="231" t="s">
        <v>361</v>
      </c>
      <c r="AC416" s="232" t="s">
        <v>361</v>
      </c>
      <c r="AD416" s="233" t="s">
        <v>361</v>
      </c>
      <c r="AE416" s="234"/>
      <c r="AF416" s="235" t="s">
        <v>1057</v>
      </c>
      <c r="AG416" s="171" t="s">
        <v>1055</v>
      </c>
      <c r="AH416" s="171" t="s">
        <v>1056</v>
      </c>
      <c r="AI416" s="236" t="s">
        <v>1028</v>
      </c>
      <c r="AJ416" s="236" t="s">
        <v>1029</v>
      </c>
      <c r="AK416" s="237">
        <v>44926</v>
      </c>
      <c r="AL416" s="237">
        <v>44926</v>
      </c>
      <c r="AM416" s="351"/>
      <c r="AN416" s="351"/>
    </row>
    <row r="417" spans="1:40" ht="54">
      <c r="A417" s="342"/>
      <c r="B417" s="345"/>
      <c r="C417" s="345"/>
      <c r="D417" s="345"/>
      <c r="E417" s="345"/>
      <c r="F417" s="348"/>
      <c r="G417" s="345"/>
      <c r="H417" s="351"/>
      <c r="I417" s="354"/>
      <c r="J417" s="357"/>
      <c r="K417" s="360"/>
      <c r="L417" s="357">
        <v>0</v>
      </c>
      <c r="M417" s="354"/>
      <c r="N417" s="357"/>
      <c r="O417" s="363"/>
      <c r="P417" s="226">
        <v>3</v>
      </c>
      <c r="Q417" s="225"/>
      <c r="R417" s="227" t="s">
        <v>361</v>
      </c>
      <c r="S417" s="228"/>
      <c r="T417" s="228"/>
      <c r="U417" s="229" t="s">
        <v>361</v>
      </c>
      <c r="V417" s="228"/>
      <c r="W417" s="228"/>
      <c r="X417" s="228"/>
      <c r="Y417" s="230" t="str">
        <f>IFERROR(IF(AND(R416="Probabilidad",R417="Probabilidad"),(AA416-(+AA416*U417)),IF(AND(R416="Impacto",R417="Probabilidad"),(AA415-(+AA415*U417)),IF(R417="Impacto",AA416,""))),"")</f>
        <v/>
      </c>
      <c r="Z417" s="231" t="s">
        <v>361</v>
      </c>
      <c r="AA417" s="232" t="s">
        <v>361</v>
      </c>
      <c r="AB417" s="231" t="s">
        <v>361</v>
      </c>
      <c r="AC417" s="232" t="s">
        <v>361</v>
      </c>
      <c r="AD417" s="233" t="s">
        <v>361</v>
      </c>
      <c r="AE417" s="234"/>
      <c r="AF417" s="235" t="s">
        <v>1058</v>
      </c>
      <c r="AG417" s="171" t="s">
        <v>1055</v>
      </c>
      <c r="AH417" s="171" t="s">
        <v>1056</v>
      </c>
      <c r="AI417" s="236" t="s">
        <v>1028</v>
      </c>
      <c r="AJ417" s="236" t="s">
        <v>1029</v>
      </c>
      <c r="AK417" s="237">
        <v>44926</v>
      </c>
      <c r="AL417" s="237">
        <v>44926</v>
      </c>
      <c r="AM417" s="351"/>
      <c r="AN417" s="351"/>
    </row>
    <row r="418" spans="1:40">
      <c r="A418" s="342"/>
      <c r="B418" s="345"/>
      <c r="C418" s="345"/>
      <c r="D418" s="345"/>
      <c r="E418" s="345"/>
      <c r="F418" s="348"/>
      <c r="G418" s="345"/>
      <c r="H418" s="351"/>
      <c r="I418" s="354"/>
      <c r="J418" s="357"/>
      <c r="K418" s="360"/>
      <c r="L418" s="357">
        <v>0</v>
      </c>
      <c r="M418" s="354"/>
      <c r="N418" s="357"/>
      <c r="O418" s="363"/>
      <c r="P418" s="226">
        <v>4</v>
      </c>
      <c r="Q418" s="224"/>
      <c r="R418" s="227" t="s">
        <v>361</v>
      </c>
      <c r="S418" s="228"/>
      <c r="T418" s="228"/>
      <c r="U418" s="229" t="s">
        <v>361</v>
      </c>
      <c r="V418" s="228"/>
      <c r="W418" s="228"/>
      <c r="X418" s="228"/>
      <c r="Y418" s="230" t="str">
        <f t="shared" ref="Y418:Y420" si="148">IFERROR(IF(AND(R417="Probabilidad",R418="Probabilidad"),(AA417-(+AA417*U418)),IF(AND(R417="Impacto",R418="Probabilidad"),(AA416-(+AA416*U418)),IF(R418="Impacto",AA417,""))),"")</f>
        <v/>
      </c>
      <c r="Z418" s="231" t="s">
        <v>361</v>
      </c>
      <c r="AA418" s="232" t="s">
        <v>361</v>
      </c>
      <c r="AB418" s="231" t="s">
        <v>361</v>
      </c>
      <c r="AC418" s="232" t="s">
        <v>361</v>
      </c>
      <c r="AD418" s="233" t="s">
        <v>361</v>
      </c>
      <c r="AE418" s="234"/>
      <c r="AF418" s="235"/>
      <c r="AG418" s="236"/>
      <c r="AH418" s="236"/>
      <c r="AI418" s="236"/>
      <c r="AJ418" s="236"/>
      <c r="AK418" s="237"/>
      <c r="AL418" s="237"/>
      <c r="AM418" s="351"/>
      <c r="AN418" s="351"/>
    </row>
    <row r="419" spans="1:40">
      <c r="A419" s="342"/>
      <c r="B419" s="345"/>
      <c r="C419" s="345"/>
      <c r="D419" s="345"/>
      <c r="E419" s="345"/>
      <c r="F419" s="348"/>
      <c r="G419" s="345"/>
      <c r="H419" s="351"/>
      <c r="I419" s="354"/>
      <c r="J419" s="357"/>
      <c r="K419" s="360"/>
      <c r="L419" s="357">
        <v>0</v>
      </c>
      <c r="M419" s="354"/>
      <c r="N419" s="357"/>
      <c r="O419" s="363"/>
      <c r="P419" s="226">
        <v>5</v>
      </c>
      <c r="Q419" s="224"/>
      <c r="R419" s="227" t="s">
        <v>361</v>
      </c>
      <c r="S419" s="228"/>
      <c r="T419" s="228"/>
      <c r="U419" s="229" t="s">
        <v>361</v>
      </c>
      <c r="V419" s="228"/>
      <c r="W419" s="228"/>
      <c r="X419" s="228"/>
      <c r="Y419" s="230" t="str">
        <f t="shared" si="148"/>
        <v/>
      </c>
      <c r="Z419" s="231" t="s">
        <v>361</v>
      </c>
      <c r="AA419" s="232" t="s">
        <v>361</v>
      </c>
      <c r="AB419" s="231" t="s">
        <v>361</v>
      </c>
      <c r="AC419" s="232" t="s">
        <v>361</v>
      </c>
      <c r="AD419" s="233" t="s">
        <v>361</v>
      </c>
      <c r="AE419" s="234"/>
      <c r="AF419" s="235"/>
      <c r="AG419" s="236"/>
      <c r="AH419" s="236"/>
      <c r="AI419" s="236"/>
      <c r="AJ419" s="236"/>
      <c r="AK419" s="237"/>
      <c r="AL419" s="237"/>
      <c r="AM419" s="351"/>
      <c r="AN419" s="351"/>
    </row>
    <row r="420" spans="1:40">
      <c r="A420" s="343"/>
      <c r="B420" s="346"/>
      <c r="C420" s="346"/>
      <c r="D420" s="346"/>
      <c r="E420" s="346"/>
      <c r="F420" s="349"/>
      <c r="G420" s="346"/>
      <c r="H420" s="352"/>
      <c r="I420" s="355"/>
      <c r="J420" s="358"/>
      <c r="K420" s="361"/>
      <c r="L420" s="358">
        <v>0</v>
      </c>
      <c r="M420" s="355"/>
      <c r="N420" s="358"/>
      <c r="O420" s="364"/>
      <c r="P420" s="226">
        <v>6</v>
      </c>
      <c r="Q420" s="224"/>
      <c r="R420" s="227" t="s">
        <v>361</v>
      </c>
      <c r="S420" s="228"/>
      <c r="T420" s="228"/>
      <c r="U420" s="229" t="s">
        <v>361</v>
      </c>
      <c r="V420" s="228"/>
      <c r="W420" s="228"/>
      <c r="X420" s="228"/>
      <c r="Y420" s="230" t="str">
        <f t="shared" si="148"/>
        <v/>
      </c>
      <c r="Z420" s="231" t="s">
        <v>361</v>
      </c>
      <c r="AA420" s="232" t="s">
        <v>361</v>
      </c>
      <c r="AB420" s="231" t="s">
        <v>361</v>
      </c>
      <c r="AC420" s="232" t="s">
        <v>361</v>
      </c>
      <c r="AD420" s="233" t="s">
        <v>361</v>
      </c>
      <c r="AE420" s="234"/>
      <c r="AF420" s="235"/>
      <c r="AG420" s="236"/>
      <c r="AH420" s="236"/>
      <c r="AI420" s="236"/>
      <c r="AJ420" s="236"/>
      <c r="AK420" s="237"/>
      <c r="AL420" s="237"/>
      <c r="AM420" s="352"/>
      <c r="AN420" s="352"/>
    </row>
    <row r="421" spans="1:40" ht="48">
      <c r="A421" s="341">
        <v>69</v>
      </c>
      <c r="B421" s="344" t="s">
        <v>217</v>
      </c>
      <c r="C421" s="344" t="s">
        <v>124</v>
      </c>
      <c r="D421" s="344" t="s">
        <v>1059</v>
      </c>
      <c r="E421" s="344" t="s">
        <v>1060</v>
      </c>
      <c r="F421" s="347" t="s">
        <v>1061</v>
      </c>
      <c r="G421" s="344" t="s">
        <v>121</v>
      </c>
      <c r="H421" s="350">
        <v>30</v>
      </c>
      <c r="I421" s="353" t="s">
        <v>99</v>
      </c>
      <c r="J421" s="356">
        <v>0.6</v>
      </c>
      <c r="K421" s="359" t="s">
        <v>139</v>
      </c>
      <c r="L421" s="356" t="s">
        <v>139</v>
      </c>
      <c r="M421" s="353" t="s">
        <v>81</v>
      </c>
      <c r="N421" s="356">
        <v>1</v>
      </c>
      <c r="O421" s="362" t="s">
        <v>75</v>
      </c>
      <c r="P421" s="226">
        <v>1</v>
      </c>
      <c r="Q421" s="224" t="s">
        <v>1062</v>
      </c>
      <c r="R421" s="227" t="s">
        <v>2</v>
      </c>
      <c r="S421" s="228" t="s">
        <v>16</v>
      </c>
      <c r="T421" s="228" t="s">
        <v>9</v>
      </c>
      <c r="U421" s="229" t="s">
        <v>359</v>
      </c>
      <c r="V421" s="228" t="s">
        <v>19</v>
      </c>
      <c r="W421" s="228" t="s">
        <v>23</v>
      </c>
      <c r="X421" s="228" t="s">
        <v>111</v>
      </c>
      <c r="Y421" s="230">
        <f>IFERROR(IF(R421="Probabilidad",(J421-(+J421*U421)),IF(R421="Impacto",J421,"")),"")</f>
        <v>0.6</v>
      </c>
      <c r="Z421" s="231" t="s">
        <v>99</v>
      </c>
      <c r="AA421" s="232">
        <v>0.6</v>
      </c>
      <c r="AB421" s="231" t="s">
        <v>7</v>
      </c>
      <c r="AC421" s="232">
        <v>0.75</v>
      </c>
      <c r="AD421" s="233" t="s">
        <v>76</v>
      </c>
      <c r="AE421" s="234" t="s">
        <v>257</v>
      </c>
      <c r="AF421" s="235" t="s">
        <v>1063</v>
      </c>
      <c r="AG421" s="236" t="s">
        <v>1064</v>
      </c>
      <c r="AH421" s="236" t="s">
        <v>377</v>
      </c>
      <c r="AI421" s="236" t="s">
        <v>1065</v>
      </c>
      <c r="AJ421" s="236" t="s">
        <v>1066</v>
      </c>
      <c r="AK421" s="237">
        <v>44926</v>
      </c>
      <c r="AL421" s="237">
        <v>44926</v>
      </c>
      <c r="AM421" s="350">
        <v>4090</v>
      </c>
      <c r="AN421" s="350"/>
    </row>
    <row r="422" spans="1:40" ht="67.5">
      <c r="A422" s="342"/>
      <c r="B422" s="345"/>
      <c r="C422" s="345"/>
      <c r="D422" s="345"/>
      <c r="E422" s="345"/>
      <c r="F422" s="348"/>
      <c r="G422" s="345"/>
      <c r="H422" s="351"/>
      <c r="I422" s="354"/>
      <c r="J422" s="357"/>
      <c r="K422" s="360"/>
      <c r="L422" s="357">
        <v>0</v>
      </c>
      <c r="M422" s="354"/>
      <c r="N422" s="357"/>
      <c r="O422" s="363"/>
      <c r="P422" s="226">
        <v>2</v>
      </c>
      <c r="Q422" s="224" t="s">
        <v>1067</v>
      </c>
      <c r="R422" s="227" t="s">
        <v>2</v>
      </c>
      <c r="S422" s="228" t="s">
        <v>16</v>
      </c>
      <c r="T422" s="228" t="s">
        <v>9</v>
      </c>
      <c r="U422" s="229" t="s">
        <v>359</v>
      </c>
      <c r="V422" s="228" t="s">
        <v>19</v>
      </c>
      <c r="W422" s="228" t="s">
        <v>23</v>
      </c>
      <c r="X422" s="228" t="s">
        <v>111</v>
      </c>
      <c r="Y422" s="230">
        <f>IFERROR(IF(AND(R421="Probabilidad",R422="Probabilidad"),(AA421-(+AA421*U422)),IF(R422="Probabilidad",(J421-(+J421*U422)),IF(R422="Impacto",AA421,""))),"")</f>
        <v>0.6</v>
      </c>
      <c r="Z422" s="231" t="s">
        <v>99</v>
      </c>
      <c r="AA422" s="232">
        <v>0.6</v>
      </c>
      <c r="AB422" s="231" t="s">
        <v>77</v>
      </c>
      <c r="AC422" s="232">
        <v>0.5625</v>
      </c>
      <c r="AD422" s="233" t="s">
        <v>77</v>
      </c>
      <c r="AE422" s="234" t="s">
        <v>257</v>
      </c>
      <c r="AF422" s="235" t="s">
        <v>1068</v>
      </c>
      <c r="AG422" s="236" t="s">
        <v>1069</v>
      </c>
      <c r="AH422" s="236" t="s">
        <v>1070</v>
      </c>
      <c r="AI422" s="236" t="s">
        <v>1065</v>
      </c>
      <c r="AJ422" s="236" t="s">
        <v>1066</v>
      </c>
      <c r="AK422" s="237">
        <v>44926</v>
      </c>
      <c r="AL422" s="237">
        <v>44926</v>
      </c>
      <c r="AM422" s="351"/>
      <c r="AN422" s="351"/>
    </row>
    <row r="423" spans="1:40">
      <c r="A423" s="342"/>
      <c r="B423" s="345"/>
      <c r="C423" s="345"/>
      <c r="D423" s="345"/>
      <c r="E423" s="345"/>
      <c r="F423" s="348"/>
      <c r="G423" s="345"/>
      <c r="H423" s="351"/>
      <c r="I423" s="354"/>
      <c r="J423" s="357"/>
      <c r="K423" s="360"/>
      <c r="L423" s="357">
        <v>0</v>
      </c>
      <c r="M423" s="354"/>
      <c r="N423" s="357"/>
      <c r="O423" s="363"/>
      <c r="P423" s="226">
        <v>3</v>
      </c>
      <c r="Q423" s="225"/>
      <c r="R423" s="227" t="s">
        <v>361</v>
      </c>
      <c r="S423" s="228"/>
      <c r="T423" s="228"/>
      <c r="U423" s="229" t="s">
        <v>361</v>
      </c>
      <c r="V423" s="228"/>
      <c r="W423" s="228"/>
      <c r="X423" s="228"/>
      <c r="Y423" s="230" t="str">
        <f>IFERROR(IF(AND(R422="Probabilidad",R423="Probabilidad"),(AA422-(+AA422*U423)),IF(AND(R422="Impacto",R423="Probabilidad"),(AA421-(+AA421*U423)),IF(R423="Impacto",AA422,""))),"")</f>
        <v/>
      </c>
      <c r="Z423" s="231" t="s">
        <v>361</v>
      </c>
      <c r="AA423" s="232" t="s">
        <v>361</v>
      </c>
      <c r="AB423" s="231" t="s">
        <v>361</v>
      </c>
      <c r="AC423" s="232" t="s">
        <v>361</v>
      </c>
      <c r="AD423" s="233" t="s">
        <v>361</v>
      </c>
      <c r="AE423" s="234"/>
      <c r="AF423" s="235"/>
      <c r="AG423" s="236"/>
      <c r="AH423" s="236"/>
      <c r="AI423" s="236"/>
      <c r="AJ423" s="236"/>
      <c r="AK423" s="237"/>
      <c r="AL423" s="237"/>
      <c r="AM423" s="351"/>
      <c r="AN423" s="351"/>
    </row>
    <row r="424" spans="1:40">
      <c r="A424" s="342"/>
      <c r="B424" s="345"/>
      <c r="C424" s="345"/>
      <c r="D424" s="345"/>
      <c r="E424" s="345"/>
      <c r="F424" s="348"/>
      <c r="G424" s="345"/>
      <c r="H424" s="351"/>
      <c r="I424" s="354"/>
      <c r="J424" s="357"/>
      <c r="K424" s="360"/>
      <c r="L424" s="357">
        <v>0</v>
      </c>
      <c r="M424" s="354"/>
      <c r="N424" s="357"/>
      <c r="O424" s="363"/>
      <c r="P424" s="226">
        <v>4</v>
      </c>
      <c r="Q424" s="224"/>
      <c r="R424" s="227" t="s">
        <v>361</v>
      </c>
      <c r="S424" s="228"/>
      <c r="T424" s="228"/>
      <c r="U424" s="229" t="s">
        <v>361</v>
      </c>
      <c r="V424" s="228"/>
      <c r="W424" s="228"/>
      <c r="X424" s="228"/>
      <c r="Y424" s="230" t="str">
        <f t="shared" ref="Y424:Y426" si="149">IFERROR(IF(AND(R423="Probabilidad",R424="Probabilidad"),(AA423-(+AA423*U424)),IF(AND(R423="Impacto",R424="Probabilidad"),(AA422-(+AA422*U424)),IF(R424="Impacto",AA423,""))),"")</f>
        <v/>
      </c>
      <c r="Z424" s="231" t="s">
        <v>361</v>
      </c>
      <c r="AA424" s="232" t="s">
        <v>361</v>
      </c>
      <c r="AB424" s="231" t="s">
        <v>361</v>
      </c>
      <c r="AC424" s="232" t="s">
        <v>361</v>
      </c>
      <c r="AD424" s="233" t="s">
        <v>361</v>
      </c>
      <c r="AE424" s="234"/>
      <c r="AF424" s="235"/>
      <c r="AG424" s="236"/>
      <c r="AH424" s="236"/>
      <c r="AI424" s="236"/>
      <c r="AJ424" s="236"/>
      <c r="AK424" s="237"/>
      <c r="AL424" s="237"/>
      <c r="AM424" s="351"/>
      <c r="AN424" s="351"/>
    </row>
    <row r="425" spans="1:40">
      <c r="A425" s="342"/>
      <c r="B425" s="345"/>
      <c r="C425" s="345"/>
      <c r="D425" s="345"/>
      <c r="E425" s="345"/>
      <c r="F425" s="348"/>
      <c r="G425" s="345"/>
      <c r="H425" s="351"/>
      <c r="I425" s="354"/>
      <c r="J425" s="357"/>
      <c r="K425" s="360"/>
      <c r="L425" s="357">
        <v>0</v>
      </c>
      <c r="M425" s="354"/>
      <c r="N425" s="357"/>
      <c r="O425" s="363"/>
      <c r="P425" s="226">
        <v>5</v>
      </c>
      <c r="Q425" s="224"/>
      <c r="R425" s="227" t="s">
        <v>361</v>
      </c>
      <c r="S425" s="228"/>
      <c r="T425" s="228"/>
      <c r="U425" s="229" t="s">
        <v>361</v>
      </c>
      <c r="V425" s="228"/>
      <c r="W425" s="228"/>
      <c r="X425" s="228"/>
      <c r="Y425" s="230" t="str">
        <f t="shared" si="149"/>
        <v/>
      </c>
      <c r="Z425" s="231" t="s">
        <v>361</v>
      </c>
      <c r="AA425" s="232" t="s">
        <v>361</v>
      </c>
      <c r="AB425" s="231" t="s">
        <v>361</v>
      </c>
      <c r="AC425" s="232" t="s">
        <v>361</v>
      </c>
      <c r="AD425" s="233" t="s">
        <v>361</v>
      </c>
      <c r="AE425" s="234"/>
      <c r="AF425" s="235"/>
      <c r="AG425" s="236"/>
      <c r="AH425" s="236"/>
      <c r="AI425" s="236"/>
      <c r="AJ425" s="236"/>
      <c r="AK425" s="237"/>
      <c r="AL425" s="237"/>
      <c r="AM425" s="351"/>
      <c r="AN425" s="351"/>
    </row>
    <row r="426" spans="1:40">
      <c r="A426" s="343"/>
      <c r="B426" s="346"/>
      <c r="C426" s="346"/>
      <c r="D426" s="346"/>
      <c r="E426" s="346"/>
      <c r="F426" s="349"/>
      <c r="G426" s="346"/>
      <c r="H426" s="352"/>
      <c r="I426" s="355"/>
      <c r="J426" s="358"/>
      <c r="K426" s="361"/>
      <c r="L426" s="358">
        <v>0</v>
      </c>
      <c r="M426" s="355"/>
      <c r="N426" s="358"/>
      <c r="O426" s="364"/>
      <c r="P426" s="226">
        <v>6</v>
      </c>
      <c r="Q426" s="224"/>
      <c r="R426" s="227" t="s">
        <v>361</v>
      </c>
      <c r="S426" s="228"/>
      <c r="T426" s="228"/>
      <c r="U426" s="229" t="s">
        <v>361</v>
      </c>
      <c r="V426" s="228"/>
      <c r="W426" s="228"/>
      <c r="X426" s="228"/>
      <c r="Y426" s="230" t="str">
        <f t="shared" si="149"/>
        <v/>
      </c>
      <c r="Z426" s="231" t="s">
        <v>361</v>
      </c>
      <c r="AA426" s="232" t="s">
        <v>361</v>
      </c>
      <c r="AB426" s="231" t="s">
        <v>361</v>
      </c>
      <c r="AC426" s="232" t="s">
        <v>361</v>
      </c>
      <c r="AD426" s="233" t="s">
        <v>361</v>
      </c>
      <c r="AE426" s="234"/>
      <c r="AF426" s="235"/>
      <c r="AG426" s="236"/>
      <c r="AH426" s="236"/>
      <c r="AI426" s="236"/>
      <c r="AJ426" s="236"/>
      <c r="AK426" s="237"/>
      <c r="AL426" s="237"/>
      <c r="AM426" s="352"/>
      <c r="AN426" s="352"/>
    </row>
    <row r="427" spans="1:40" ht="121.5">
      <c r="A427" s="341">
        <v>70</v>
      </c>
      <c r="B427" s="344" t="s">
        <v>217</v>
      </c>
      <c r="C427" s="344" t="s">
        <v>123</v>
      </c>
      <c r="D427" s="344" t="s">
        <v>1071</v>
      </c>
      <c r="E427" s="344" t="s">
        <v>1072</v>
      </c>
      <c r="F427" s="347" t="s">
        <v>1073</v>
      </c>
      <c r="G427" s="344" t="s">
        <v>121</v>
      </c>
      <c r="H427" s="350">
        <v>36</v>
      </c>
      <c r="I427" s="353" t="s">
        <v>99</v>
      </c>
      <c r="J427" s="356">
        <v>0.6</v>
      </c>
      <c r="K427" s="359" t="s">
        <v>140</v>
      </c>
      <c r="L427" s="356" t="s">
        <v>140</v>
      </c>
      <c r="M427" s="353" t="s">
        <v>800</v>
      </c>
      <c r="N427" s="356">
        <v>0.2</v>
      </c>
      <c r="O427" s="362" t="s">
        <v>77</v>
      </c>
      <c r="P427" s="226">
        <v>1</v>
      </c>
      <c r="Q427" s="224" t="s">
        <v>1074</v>
      </c>
      <c r="R427" s="227" t="s">
        <v>4</v>
      </c>
      <c r="S427" s="228" t="s">
        <v>14</v>
      </c>
      <c r="T427" s="228" t="s">
        <v>9</v>
      </c>
      <c r="U427" s="229" t="s">
        <v>346</v>
      </c>
      <c r="V427" s="228" t="s">
        <v>20</v>
      </c>
      <c r="W427" s="228" t="s">
        <v>23</v>
      </c>
      <c r="X427" s="228" t="s">
        <v>111</v>
      </c>
      <c r="Y427" s="230">
        <f>IFERROR(IF(R427="Probabilidad",(J427-(+J427*U427)),IF(R427="Impacto",J427,"")),"")</f>
        <v>0.36</v>
      </c>
      <c r="Z427" s="231" t="s">
        <v>49</v>
      </c>
      <c r="AA427" s="232">
        <v>0.36</v>
      </c>
      <c r="AB427" s="231" t="s">
        <v>800</v>
      </c>
      <c r="AC427" s="232">
        <v>0.2</v>
      </c>
      <c r="AD427" s="233" t="s">
        <v>78</v>
      </c>
      <c r="AE427" s="234" t="s">
        <v>257</v>
      </c>
      <c r="AF427" s="235" t="s">
        <v>1075</v>
      </c>
      <c r="AG427" s="236" t="s">
        <v>1069</v>
      </c>
      <c r="AH427" s="236" t="s">
        <v>1070</v>
      </c>
      <c r="AI427" s="236" t="s">
        <v>1065</v>
      </c>
      <c r="AJ427" s="236" t="s">
        <v>1066</v>
      </c>
      <c r="AK427" s="237">
        <v>44926</v>
      </c>
      <c r="AL427" s="237">
        <v>44926</v>
      </c>
      <c r="AM427" s="350">
        <v>4091</v>
      </c>
      <c r="AN427" s="350"/>
    </row>
    <row r="428" spans="1:40">
      <c r="A428" s="342"/>
      <c r="B428" s="345"/>
      <c r="C428" s="345"/>
      <c r="D428" s="345"/>
      <c r="E428" s="345"/>
      <c r="F428" s="348"/>
      <c r="G428" s="345"/>
      <c r="H428" s="351"/>
      <c r="I428" s="354"/>
      <c r="J428" s="357"/>
      <c r="K428" s="360"/>
      <c r="L428" s="357">
        <v>0</v>
      </c>
      <c r="M428" s="354"/>
      <c r="N428" s="357"/>
      <c r="O428" s="363"/>
      <c r="P428" s="226">
        <v>2</v>
      </c>
      <c r="Q428" s="224"/>
      <c r="R428" s="227" t="s">
        <v>361</v>
      </c>
      <c r="S428" s="228"/>
      <c r="T428" s="228"/>
      <c r="U428" s="229" t="s">
        <v>361</v>
      </c>
      <c r="V428" s="228"/>
      <c r="W428" s="228"/>
      <c r="X428" s="228"/>
      <c r="Y428" s="230" t="str">
        <f>IFERROR(IF(AND(R427="Probabilidad",R428="Probabilidad"),(AA427-(+AA427*U428)),IF(R428="Probabilidad",(J427-(+J427*U428)),IF(R428="Impacto",AA427,""))),"")</f>
        <v/>
      </c>
      <c r="Z428" s="231" t="s">
        <v>361</v>
      </c>
      <c r="AA428" s="232" t="s">
        <v>361</v>
      </c>
      <c r="AB428" s="231" t="s">
        <v>361</v>
      </c>
      <c r="AC428" s="232" t="s">
        <v>361</v>
      </c>
      <c r="AD428" s="233" t="s">
        <v>361</v>
      </c>
      <c r="AE428" s="234"/>
      <c r="AF428" s="235"/>
      <c r="AG428" s="236"/>
      <c r="AH428" s="236"/>
      <c r="AI428" s="236"/>
      <c r="AJ428" s="236"/>
      <c r="AK428" s="237"/>
      <c r="AL428" s="237"/>
      <c r="AM428" s="351"/>
      <c r="AN428" s="351"/>
    </row>
    <row r="429" spans="1:40">
      <c r="A429" s="342"/>
      <c r="B429" s="345"/>
      <c r="C429" s="345"/>
      <c r="D429" s="345"/>
      <c r="E429" s="345"/>
      <c r="F429" s="348"/>
      <c r="G429" s="345"/>
      <c r="H429" s="351"/>
      <c r="I429" s="354"/>
      <c r="J429" s="357"/>
      <c r="K429" s="360"/>
      <c r="L429" s="357">
        <v>0</v>
      </c>
      <c r="M429" s="354"/>
      <c r="N429" s="357"/>
      <c r="O429" s="363"/>
      <c r="P429" s="226">
        <v>3</v>
      </c>
      <c r="Q429" s="225"/>
      <c r="R429" s="227" t="s">
        <v>361</v>
      </c>
      <c r="S429" s="228"/>
      <c r="T429" s="228"/>
      <c r="U429" s="229" t="s">
        <v>361</v>
      </c>
      <c r="V429" s="228"/>
      <c r="W429" s="228"/>
      <c r="X429" s="228"/>
      <c r="Y429" s="230" t="str">
        <f>IFERROR(IF(AND(R428="Probabilidad",R429="Probabilidad"),(AA428-(+AA428*U429)),IF(AND(R428="Impacto",R429="Probabilidad"),(AA427-(+AA427*U429)),IF(R429="Impacto",AA428,""))),"")</f>
        <v/>
      </c>
      <c r="Z429" s="231" t="s">
        <v>361</v>
      </c>
      <c r="AA429" s="232" t="s">
        <v>361</v>
      </c>
      <c r="AB429" s="231" t="s">
        <v>361</v>
      </c>
      <c r="AC429" s="232" t="s">
        <v>361</v>
      </c>
      <c r="AD429" s="233" t="s">
        <v>361</v>
      </c>
      <c r="AE429" s="234"/>
      <c r="AF429" s="235"/>
      <c r="AG429" s="236"/>
      <c r="AH429" s="236"/>
      <c r="AI429" s="236"/>
      <c r="AJ429" s="236"/>
      <c r="AK429" s="237"/>
      <c r="AL429" s="237"/>
      <c r="AM429" s="351"/>
      <c r="AN429" s="351"/>
    </row>
    <row r="430" spans="1:40">
      <c r="A430" s="342"/>
      <c r="B430" s="345"/>
      <c r="C430" s="345"/>
      <c r="D430" s="345"/>
      <c r="E430" s="345"/>
      <c r="F430" s="348"/>
      <c r="G430" s="345"/>
      <c r="H430" s="351"/>
      <c r="I430" s="354"/>
      <c r="J430" s="357"/>
      <c r="K430" s="360"/>
      <c r="L430" s="357">
        <v>0</v>
      </c>
      <c r="M430" s="354"/>
      <c r="N430" s="357"/>
      <c r="O430" s="363"/>
      <c r="P430" s="226">
        <v>4</v>
      </c>
      <c r="Q430" s="224"/>
      <c r="R430" s="227" t="s">
        <v>361</v>
      </c>
      <c r="S430" s="228"/>
      <c r="T430" s="228"/>
      <c r="U430" s="229" t="s">
        <v>361</v>
      </c>
      <c r="V430" s="228"/>
      <c r="W430" s="228"/>
      <c r="X430" s="228"/>
      <c r="Y430" s="230" t="str">
        <f t="shared" ref="Y430:Y432" si="150">IFERROR(IF(AND(R429="Probabilidad",R430="Probabilidad"),(AA429-(+AA429*U430)),IF(AND(R429="Impacto",R430="Probabilidad"),(AA428-(+AA428*U430)),IF(R430="Impacto",AA429,""))),"")</f>
        <v/>
      </c>
      <c r="Z430" s="231" t="s">
        <v>361</v>
      </c>
      <c r="AA430" s="232" t="s">
        <v>361</v>
      </c>
      <c r="AB430" s="231" t="s">
        <v>361</v>
      </c>
      <c r="AC430" s="232" t="s">
        <v>361</v>
      </c>
      <c r="AD430" s="233" t="s">
        <v>361</v>
      </c>
      <c r="AE430" s="234"/>
      <c r="AF430" s="235"/>
      <c r="AG430" s="236"/>
      <c r="AH430" s="236"/>
      <c r="AI430" s="236"/>
      <c r="AJ430" s="236"/>
      <c r="AK430" s="237"/>
      <c r="AL430" s="237"/>
      <c r="AM430" s="351"/>
      <c r="AN430" s="351"/>
    </row>
    <row r="431" spans="1:40">
      <c r="A431" s="342"/>
      <c r="B431" s="345"/>
      <c r="C431" s="345"/>
      <c r="D431" s="345"/>
      <c r="E431" s="345"/>
      <c r="F431" s="348"/>
      <c r="G431" s="345"/>
      <c r="H431" s="351"/>
      <c r="I431" s="354"/>
      <c r="J431" s="357"/>
      <c r="K431" s="360"/>
      <c r="L431" s="357">
        <v>0</v>
      </c>
      <c r="M431" s="354"/>
      <c r="N431" s="357"/>
      <c r="O431" s="363"/>
      <c r="P431" s="226">
        <v>5</v>
      </c>
      <c r="Q431" s="224"/>
      <c r="R431" s="227" t="s">
        <v>361</v>
      </c>
      <c r="S431" s="228"/>
      <c r="T431" s="228"/>
      <c r="U431" s="229" t="s">
        <v>361</v>
      </c>
      <c r="V431" s="228"/>
      <c r="W431" s="228"/>
      <c r="X431" s="228"/>
      <c r="Y431" s="230" t="str">
        <f t="shared" si="150"/>
        <v/>
      </c>
      <c r="Z431" s="231" t="s">
        <v>361</v>
      </c>
      <c r="AA431" s="232" t="s">
        <v>361</v>
      </c>
      <c r="AB431" s="231" t="s">
        <v>361</v>
      </c>
      <c r="AC431" s="232" t="s">
        <v>361</v>
      </c>
      <c r="AD431" s="233" t="s">
        <v>361</v>
      </c>
      <c r="AE431" s="234"/>
      <c r="AF431" s="235"/>
      <c r="AG431" s="236"/>
      <c r="AH431" s="236"/>
      <c r="AI431" s="236"/>
      <c r="AJ431" s="236"/>
      <c r="AK431" s="237"/>
      <c r="AL431" s="237"/>
      <c r="AM431" s="351"/>
      <c r="AN431" s="351"/>
    </row>
    <row r="432" spans="1:40" ht="17.25" thickBot="1">
      <c r="A432" s="343"/>
      <c r="B432" s="346"/>
      <c r="C432" s="346"/>
      <c r="D432" s="346"/>
      <c r="E432" s="346"/>
      <c r="F432" s="349"/>
      <c r="G432" s="346"/>
      <c r="H432" s="352"/>
      <c r="I432" s="355"/>
      <c r="J432" s="358"/>
      <c r="K432" s="361"/>
      <c r="L432" s="358">
        <v>0</v>
      </c>
      <c r="M432" s="355"/>
      <c r="N432" s="358"/>
      <c r="O432" s="364"/>
      <c r="P432" s="226">
        <v>6</v>
      </c>
      <c r="Q432" s="224"/>
      <c r="R432" s="227" t="s">
        <v>361</v>
      </c>
      <c r="S432" s="228"/>
      <c r="T432" s="228"/>
      <c r="U432" s="229" t="s">
        <v>361</v>
      </c>
      <c r="V432" s="228"/>
      <c r="W432" s="228"/>
      <c r="X432" s="228"/>
      <c r="Y432" s="230" t="str">
        <f t="shared" si="150"/>
        <v/>
      </c>
      <c r="Z432" s="231" t="s">
        <v>361</v>
      </c>
      <c r="AA432" s="232" t="s">
        <v>361</v>
      </c>
      <c r="AB432" s="231" t="s">
        <v>361</v>
      </c>
      <c r="AC432" s="232" t="s">
        <v>361</v>
      </c>
      <c r="AD432" s="233" t="s">
        <v>361</v>
      </c>
      <c r="AE432" s="234"/>
      <c r="AF432" s="235"/>
      <c r="AG432" s="236"/>
      <c r="AH432" s="236"/>
      <c r="AI432" s="236"/>
      <c r="AJ432" s="236"/>
      <c r="AK432" s="237"/>
      <c r="AL432" s="237"/>
      <c r="AM432" s="352"/>
      <c r="AN432" s="352"/>
    </row>
    <row r="433" spans="1:40" ht="81" customHeight="1">
      <c r="A433" s="341">
        <v>71</v>
      </c>
      <c r="B433" s="344" t="s">
        <v>248</v>
      </c>
      <c r="C433" s="344" t="s">
        <v>125</v>
      </c>
      <c r="D433" s="410" t="s">
        <v>1076</v>
      </c>
      <c r="E433" s="413" t="s">
        <v>1077</v>
      </c>
      <c r="F433" s="416" t="s">
        <v>1078</v>
      </c>
      <c r="G433" s="344" t="s">
        <v>115</v>
      </c>
      <c r="H433" s="350">
        <v>32</v>
      </c>
      <c r="I433" s="353" t="s">
        <v>99</v>
      </c>
      <c r="J433" s="356">
        <v>0.6</v>
      </c>
      <c r="K433" s="359" t="s">
        <v>143</v>
      </c>
      <c r="L433" s="356" t="s">
        <v>143</v>
      </c>
      <c r="M433" s="353" t="s">
        <v>7</v>
      </c>
      <c r="N433" s="356">
        <v>0.8</v>
      </c>
      <c r="O433" s="362" t="s">
        <v>76</v>
      </c>
      <c r="P433" s="226">
        <v>1</v>
      </c>
      <c r="Q433" s="224" t="s">
        <v>1079</v>
      </c>
      <c r="R433" s="227" t="s">
        <v>4</v>
      </c>
      <c r="S433" s="228" t="s">
        <v>14</v>
      </c>
      <c r="T433" s="228" t="s">
        <v>9</v>
      </c>
      <c r="U433" s="229" t="s">
        <v>346</v>
      </c>
      <c r="V433" s="228" t="s">
        <v>19</v>
      </c>
      <c r="W433" s="228" t="s">
        <v>23</v>
      </c>
      <c r="X433" s="228" t="s">
        <v>111</v>
      </c>
      <c r="Y433" s="230">
        <f>IFERROR(IF(R433="Probabilidad",(J433-(+J433*U433)),IF(R433="Impacto",J433,"")),"")</f>
        <v>0.36</v>
      </c>
      <c r="Z433" s="231" t="s">
        <v>49</v>
      </c>
      <c r="AA433" s="232">
        <v>0.36</v>
      </c>
      <c r="AB433" s="231" t="s">
        <v>7</v>
      </c>
      <c r="AC433" s="232">
        <v>0.8</v>
      </c>
      <c r="AD433" s="233" t="s">
        <v>76</v>
      </c>
      <c r="AE433" s="234" t="s">
        <v>257</v>
      </c>
      <c r="AF433" s="235" t="s">
        <v>1080</v>
      </c>
      <c r="AG433" s="236" t="s">
        <v>1081</v>
      </c>
      <c r="AH433" s="236" t="s">
        <v>804</v>
      </c>
      <c r="AI433" s="236" t="s">
        <v>1082</v>
      </c>
      <c r="AJ433" s="236" t="s">
        <v>348</v>
      </c>
      <c r="AK433" s="237" t="s">
        <v>1083</v>
      </c>
      <c r="AL433" s="237" t="s">
        <v>433</v>
      </c>
      <c r="AM433" s="344" t="s">
        <v>1084</v>
      </c>
      <c r="AN433" s="350"/>
    </row>
    <row r="434" spans="1:40" ht="94.5">
      <c r="A434" s="342"/>
      <c r="B434" s="345"/>
      <c r="C434" s="345"/>
      <c r="D434" s="411"/>
      <c r="E434" s="414"/>
      <c r="F434" s="417"/>
      <c r="G434" s="345"/>
      <c r="H434" s="351"/>
      <c r="I434" s="354"/>
      <c r="J434" s="357"/>
      <c r="K434" s="360"/>
      <c r="L434" s="357">
        <v>0</v>
      </c>
      <c r="M434" s="354"/>
      <c r="N434" s="357"/>
      <c r="O434" s="363"/>
      <c r="P434" s="226">
        <v>2</v>
      </c>
      <c r="Q434" s="224" t="s">
        <v>1085</v>
      </c>
      <c r="R434" s="227" t="s">
        <v>2</v>
      </c>
      <c r="S434" s="228" t="s">
        <v>16</v>
      </c>
      <c r="T434" s="228" t="s">
        <v>9</v>
      </c>
      <c r="U434" s="229" t="s">
        <v>359</v>
      </c>
      <c r="V434" s="228" t="s">
        <v>19</v>
      </c>
      <c r="W434" s="228" t="s">
        <v>23</v>
      </c>
      <c r="X434" s="228" t="s">
        <v>111</v>
      </c>
      <c r="Y434" s="230">
        <f>IFERROR(IF(AND(R433="Probabilidad",R434="Probabilidad"),(AA433-(+AA433*U434)),IF(R434="Probabilidad",(J433-(+J433*U434)),IF(R434="Impacto",AA433,""))),"")</f>
        <v>0.36</v>
      </c>
      <c r="Z434" s="231" t="s">
        <v>49</v>
      </c>
      <c r="AA434" s="232">
        <v>0.36</v>
      </c>
      <c r="AB434" s="231" t="s">
        <v>77</v>
      </c>
      <c r="AC434" s="232">
        <v>0.60000000000000009</v>
      </c>
      <c r="AD434" s="233" t="s">
        <v>77</v>
      </c>
      <c r="AE434" s="234" t="s">
        <v>257</v>
      </c>
      <c r="AF434" s="235" t="s">
        <v>1086</v>
      </c>
      <c r="AG434" s="236" t="s">
        <v>1087</v>
      </c>
      <c r="AH434" s="236" t="s">
        <v>804</v>
      </c>
      <c r="AI434" s="236" t="s">
        <v>1082</v>
      </c>
      <c r="AJ434" s="236" t="s">
        <v>348</v>
      </c>
      <c r="AK434" s="237" t="s">
        <v>1083</v>
      </c>
      <c r="AL434" s="237" t="s">
        <v>433</v>
      </c>
      <c r="AM434" s="351"/>
      <c r="AN434" s="351"/>
    </row>
    <row r="435" spans="1:40">
      <c r="A435" s="342"/>
      <c r="B435" s="345"/>
      <c r="C435" s="345"/>
      <c r="D435" s="411"/>
      <c r="E435" s="414"/>
      <c r="F435" s="417"/>
      <c r="G435" s="345"/>
      <c r="H435" s="351"/>
      <c r="I435" s="354"/>
      <c r="J435" s="357"/>
      <c r="K435" s="360"/>
      <c r="L435" s="357">
        <v>0</v>
      </c>
      <c r="M435" s="354"/>
      <c r="N435" s="357"/>
      <c r="O435" s="363"/>
      <c r="P435" s="226">
        <v>3</v>
      </c>
      <c r="Q435" s="224"/>
      <c r="R435" s="227" t="s">
        <v>361</v>
      </c>
      <c r="S435" s="228"/>
      <c r="T435" s="228"/>
      <c r="U435" s="229" t="s">
        <v>361</v>
      </c>
      <c r="V435" s="228"/>
      <c r="W435" s="228"/>
      <c r="X435" s="228"/>
      <c r="Y435" s="230" t="str">
        <f>IFERROR(IF(AND(R434="Probabilidad",R435="Probabilidad"),(AA434-(+AA434*U435)),IF(AND(R434="Impacto",R435="Probabilidad"),(AA433-(+AA433*U435)),IF(R435="Impacto",AA434,""))),"")</f>
        <v/>
      </c>
      <c r="Z435" s="231" t="s">
        <v>361</v>
      </c>
      <c r="AA435" s="232" t="s">
        <v>361</v>
      </c>
      <c r="AB435" s="231" t="s">
        <v>361</v>
      </c>
      <c r="AC435" s="232" t="s">
        <v>361</v>
      </c>
      <c r="AD435" s="233" t="s">
        <v>361</v>
      </c>
      <c r="AE435" s="234"/>
      <c r="AF435" s="235"/>
      <c r="AG435" s="236"/>
      <c r="AH435" s="236"/>
      <c r="AI435" s="236"/>
      <c r="AJ435" s="236"/>
      <c r="AK435" s="237"/>
      <c r="AL435" s="237"/>
      <c r="AM435" s="351"/>
      <c r="AN435" s="351"/>
    </row>
    <row r="436" spans="1:40">
      <c r="A436" s="342"/>
      <c r="B436" s="345"/>
      <c r="C436" s="345"/>
      <c r="D436" s="411"/>
      <c r="E436" s="414"/>
      <c r="F436" s="417"/>
      <c r="G436" s="345"/>
      <c r="H436" s="351"/>
      <c r="I436" s="354"/>
      <c r="J436" s="357"/>
      <c r="K436" s="360"/>
      <c r="L436" s="357">
        <v>0</v>
      </c>
      <c r="M436" s="354"/>
      <c r="N436" s="357"/>
      <c r="O436" s="363"/>
      <c r="P436" s="226">
        <v>4</v>
      </c>
      <c r="Q436" s="224"/>
      <c r="R436" s="227" t="s">
        <v>361</v>
      </c>
      <c r="S436" s="228"/>
      <c r="T436" s="228"/>
      <c r="U436" s="229" t="s">
        <v>361</v>
      </c>
      <c r="V436" s="228"/>
      <c r="W436" s="228"/>
      <c r="X436" s="228"/>
      <c r="Y436" s="230" t="str">
        <f t="shared" ref="Y436:Y438" si="151">IFERROR(IF(AND(R435="Probabilidad",R436="Probabilidad"),(AA435-(+AA435*U436)),IF(AND(R435="Impacto",R436="Probabilidad"),(AA434-(+AA434*U436)),IF(R436="Impacto",AA435,""))),"")</f>
        <v/>
      </c>
      <c r="Z436" s="231" t="s">
        <v>361</v>
      </c>
      <c r="AA436" s="232" t="s">
        <v>361</v>
      </c>
      <c r="AB436" s="231" t="s">
        <v>361</v>
      </c>
      <c r="AC436" s="232" t="s">
        <v>361</v>
      </c>
      <c r="AD436" s="233" t="s">
        <v>361</v>
      </c>
      <c r="AE436" s="234"/>
      <c r="AF436" s="235"/>
      <c r="AG436" s="236"/>
      <c r="AH436" s="236"/>
      <c r="AI436" s="236"/>
      <c r="AJ436" s="236"/>
      <c r="AK436" s="237"/>
      <c r="AL436" s="237"/>
      <c r="AM436" s="351"/>
      <c r="AN436" s="351"/>
    </row>
    <row r="437" spans="1:40">
      <c r="A437" s="342"/>
      <c r="B437" s="345"/>
      <c r="C437" s="345"/>
      <c r="D437" s="411"/>
      <c r="E437" s="414"/>
      <c r="F437" s="417"/>
      <c r="G437" s="345"/>
      <c r="H437" s="351"/>
      <c r="I437" s="354"/>
      <c r="J437" s="357"/>
      <c r="K437" s="360"/>
      <c r="L437" s="357">
        <v>0</v>
      </c>
      <c r="M437" s="354"/>
      <c r="N437" s="357"/>
      <c r="O437" s="363"/>
      <c r="P437" s="226">
        <v>5</v>
      </c>
      <c r="Q437" s="224"/>
      <c r="R437" s="227" t="s">
        <v>361</v>
      </c>
      <c r="S437" s="228"/>
      <c r="T437" s="228"/>
      <c r="U437" s="229" t="s">
        <v>361</v>
      </c>
      <c r="V437" s="228"/>
      <c r="W437" s="228"/>
      <c r="X437" s="228"/>
      <c r="Y437" s="230" t="str">
        <f t="shared" si="151"/>
        <v/>
      </c>
      <c r="Z437" s="231" t="s">
        <v>361</v>
      </c>
      <c r="AA437" s="232" t="s">
        <v>361</v>
      </c>
      <c r="AB437" s="231" t="s">
        <v>361</v>
      </c>
      <c r="AC437" s="232" t="s">
        <v>361</v>
      </c>
      <c r="AD437" s="233" t="s">
        <v>361</v>
      </c>
      <c r="AE437" s="234"/>
      <c r="AF437" s="235"/>
      <c r="AG437" s="236"/>
      <c r="AH437" s="236"/>
      <c r="AI437" s="236"/>
      <c r="AJ437" s="236"/>
      <c r="AK437" s="237"/>
      <c r="AL437" s="237"/>
      <c r="AM437" s="351"/>
      <c r="AN437" s="351"/>
    </row>
    <row r="438" spans="1:40" ht="17.25" thickBot="1">
      <c r="A438" s="343"/>
      <c r="B438" s="346"/>
      <c r="C438" s="346"/>
      <c r="D438" s="412"/>
      <c r="E438" s="415"/>
      <c r="F438" s="418"/>
      <c r="G438" s="346"/>
      <c r="H438" s="352"/>
      <c r="I438" s="355"/>
      <c r="J438" s="358"/>
      <c r="K438" s="361"/>
      <c r="L438" s="358">
        <v>0</v>
      </c>
      <c r="M438" s="355"/>
      <c r="N438" s="358"/>
      <c r="O438" s="364"/>
      <c r="P438" s="226">
        <v>6</v>
      </c>
      <c r="Q438" s="224"/>
      <c r="R438" s="227" t="s">
        <v>361</v>
      </c>
      <c r="S438" s="228"/>
      <c r="T438" s="228"/>
      <c r="U438" s="229" t="s">
        <v>361</v>
      </c>
      <c r="V438" s="228"/>
      <c r="W438" s="228"/>
      <c r="X438" s="228"/>
      <c r="Y438" s="230" t="str">
        <f t="shared" si="151"/>
        <v/>
      </c>
      <c r="Z438" s="231" t="s">
        <v>361</v>
      </c>
      <c r="AA438" s="232" t="s">
        <v>361</v>
      </c>
      <c r="AB438" s="231" t="s">
        <v>361</v>
      </c>
      <c r="AC438" s="232" t="s">
        <v>361</v>
      </c>
      <c r="AD438" s="233" t="s">
        <v>361</v>
      </c>
      <c r="AE438" s="234"/>
      <c r="AF438" s="235"/>
      <c r="AG438" s="236"/>
      <c r="AH438" s="236"/>
      <c r="AI438" s="236"/>
      <c r="AJ438" s="236"/>
      <c r="AK438" s="237"/>
      <c r="AL438" s="237"/>
      <c r="AM438" s="352"/>
      <c r="AN438" s="352"/>
    </row>
    <row r="439" spans="1:40" ht="108" customHeight="1">
      <c r="A439" s="341">
        <v>72</v>
      </c>
      <c r="B439" s="344" t="s">
        <v>211</v>
      </c>
      <c r="C439" s="344" t="s">
        <v>125</v>
      </c>
      <c r="D439" s="344" t="s">
        <v>1181</v>
      </c>
      <c r="E439" s="344" t="s">
        <v>1182</v>
      </c>
      <c r="F439" s="347" t="s">
        <v>1183</v>
      </c>
      <c r="G439" s="344" t="s">
        <v>115</v>
      </c>
      <c r="H439" s="350">
        <v>44</v>
      </c>
      <c r="I439" s="353" t="s">
        <v>99</v>
      </c>
      <c r="J439" s="356">
        <v>0.6</v>
      </c>
      <c r="K439" s="359" t="s">
        <v>142</v>
      </c>
      <c r="L439" s="356" t="s">
        <v>142</v>
      </c>
      <c r="M439" s="353" t="s">
        <v>77</v>
      </c>
      <c r="N439" s="356">
        <v>0.6</v>
      </c>
      <c r="O439" s="362" t="s">
        <v>77</v>
      </c>
      <c r="P439" s="226">
        <v>1</v>
      </c>
      <c r="Q439" s="224" t="s">
        <v>1184</v>
      </c>
      <c r="R439" s="227" t="s">
        <v>4</v>
      </c>
      <c r="S439" s="228" t="s">
        <v>15</v>
      </c>
      <c r="T439" s="228" t="s">
        <v>9</v>
      </c>
      <c r="U439" s="229" t="s">
        <v>352</v>
      </c>
      <c r="V439" s="228" t="s">
        <v>19</v>
      </c>
      <c r="W439" s="228" t="s">
        <v>23</v>
      </c>
      <c r="X439" s="228" t="s">
        <v>111</v>
      </c>
      <c r="Y439" s="230">
        <f>IFERROR(IF(R439="Probabilidad",(J439-(+J439*U439)),IF(R439="Impacto",J439,"")),"")</f>
        <v>0.42</v>
      </c>
      <c r="Z439" s="231" t="s">
        <v>99</v>
      </c>
      <c r="AA439" s="232">
        <v>0.42</v>
      </c>
      <c r="AB439" s="231" t="s">
        <v>77</v>
      </c>
      <c r="AC439" s="232">
        <v>0.6</v>
      </c>
      <c r="AD439" s="233" t="s">
        <v>77</v>
      </c>
      <c r="AE439" s="234" t="s">
        <v>257</v>
      </c>
      <c r="AF439" s="235" t="s">
        <v>1185</v>
      </c>
      <c r="AG439" s="236" t="s">
        <v>1186</v>
      </c>
      <c r="AH439" s="236" t="s">
        <v>1111</v>
      </c>
      <c r="AI439" s="236" t="s">
        <v>1112</v>
      </c>
      <c r="AJ439" s="236" t="s">
        <v>1186</v>
      </c>
      <c r="AK439" s="237">
        <v>44684</v>
      </c>
      <c r="AL439" s="172">
        <v>44926</v>
      </c>
      <c r="AM439" s="350">
        <v>4095</v>
      </c>
      <c r="AN439" s="350"/>
    </row>
    <row r="440" spans="1:40">
      <c r="A440" s="342"/>
      <c r="B440" s="345"/>
      <c r="C440" s="345"/>
      <c r="D440" s="345"/>
      <c r="E440" s="345"/>
      <c r="F440" s="348"/>
      <c r="G440" s="345"/>
      <c r="H440" s="351"/>
      <c r="I440" s="354"/>
      <c r="J440" s="357"/>
      <c r="K440" s="360"/>
      <c r="L440" s="357">
        <v>0</v>
      </c>
      <c r="M440" s="354"/>
      <c r="N440" s="357"/>
      <c r="O440" s="363"/>
      <c r="P440" s="226">
        <v>2</v>
      </c>
      <c r="Q440" s="224"/>
      <c r="R440" s="227" t="s">
        <v>361</v>
      </c>
      <c r="S440" s="228"/>
      <c r="T440" s="228"/>
      <c r="U440" s="229" t="s">
        <v>361</v>
      </c>
      <c r="V440" s="228"/>
      <c r="W440" s="228"/>
      <c r="X440" s="228"/>
      <c r="Y440" s="230" t="str">
        <f>IFERROR(IF(AND(R439="Probabilidad",R440="Probabilidad"),(AA439-(+AA439*U440)),IF(R440="Probabilidad",(J439-(+J439*U440)),IF(R440="Impacto",AA439,""))),"")</f>
        <v/>
      </c>
      <c r="Z440" s="231" t="s">
        <v>361</v>
      </c>
      <c r="AA440" s="232" t="s">
        <v>361</v>
      </c>
      <c r="AB440" s="231" t="s">
        <v>361</v>
      </c>
      <c r="AC440" s="232" t="s">
        <v>361</v>
      </c>
      <c r="AD440" s="233" t="s">
        <v>361</v>
      </c>
      <c r="AE440" s="234"/>
      <c r="AF440" s="235"/>
      <c r="AG440" s="236"/>
      <c r="AH440" s="236"/>
      <c r="AI440" s="236"/>
      <c r="AJ440" s="236"/>
      <c r="AK440" s="237"/>
      <c r="AL440" s="237"/>
      <c r="AM440" s="351"/>
      <c r="AN440" s="351"/>
    </row>
    <row r="441" spans="1:40">
      <c r="A441" s="342"/>
      <c r="B441" s="345"/>
      <c r="C441" s="345"/>
      <c r="D441" s="345"/>
      <c r="E441" s="345"/>
      <c r="F441" s="348"/>
      <c r="G441" s="345"/>
      <c r="H441" s="351"/>
      <c r="I441" s="354"/>
      <c r="J441" s="357"/>
      <c r="K441" s="360"/>
      <c r="L441" s="357">
        <v>0</v>
      </c>
      <c r="M441" s="354"/>
      <c r="N441" s="357"/>
      <c r="O441" s="363"/>
      <c r="P441" s="226">
        <v>3</v>
      </c>
      <c r="Q441" s="224"/>
      <c r="R441" s="227" t="s">
        <v>361</v>
      </c>
      <c r="S441" s="228"/>
      <c r="T441" s="228"/>
      <c r="U441" s="229" t="s">
        <v>361</v>
      </c>
      <c r="V441" s="228"/>
      <c r="W441" s="228"/>
      <c r="X441" s="228"/>
      <c r="Y441" s="230" t="str">
        <f>IFERROR(IF(AND(R440="Probabilidad",R441="Probabilidad"),(AA440-(+AA440*U441)),IF(AND(R440="Impacto",R441="Probabilidad"),(AA439-(+AA439*U441)),IF(R441="Impacto",AA440,""))),"")</f>
        <v/>
      </c>
      <c r="Z441" s="231" t="s">
        <v>361</v>
      </c>
      <c r="AA441" s="232" t="s">
        <v>361</v>
      </c>
      <c r="AB441" s="231" t="s">
        <v>361</v>
      </c>
      <c r="AC441" s="232" t="s">
        <v>361</v>
      </c>
      <c r="AD441" s="233" t="s">
        <v>361</v>
      </c>
      <c r="AE441" s="234"/>
      <c r="AF441" s="235"/>
      <c r="AG441" s="236"/>
      <c r="AH441" s="236"/>
      <c r="AI441" s="236"/>
      <c r="AJ441" s="236"/>
      <c r="AK441" s="237"/>
      <c r="AL441" s="237"/>
      <c r="AM441" s="351"/>
      <c r="AN441" s="351"/>
    </row>
    <row r="442" spans="1:40">
      <c r="A442" s="342"/>
      <c r="B442" s="345"/>
      <c r="C442" s="345"/>
      <c r="D442" s="345"/>
      <c r="E442" s="345"/>
      <c r="F442" s="348"/>
      <c r="G442" s="345"/>
      <c r="H442" s="351"/>
      <c r="I442" s="354"/>
      <c r="J442" s="357"/>
      <c r="K442" s="360"/>
      <c r="L442" s="357">
        <v>0</v>
      </c>
      <c r="M442" s="354"/>
      <c r="N442" s="357"/>
      <c r="O442" s="363"/>
      <c r="P442" s="226">
        <v>4</v>
      </c>
      <c r="Q442" s="224"/>
      <c r="R442" s="227" t="s">
        <v>361</v>
      </c>
      <c r="S442" s="228"/>
      <c r="T442" s="228"/>
      <c r="U442" s="229" t="s">
        <v>361</v>
      </c>
      <c r="V442" s="228"/>
      <c r="W442" s="228"/>
      <c r="X442" s="228"/>
      <c r="Y442" s="230" t="str">
        <f t="shared" ref="Y442:Y444" si="152">IFERROR(IF(AND(R441="Probabilidad",R442="Probabilidad"),(AA441-(+AA441*U442)),IF(AND(R441="Impacto",R442="Probabilidad"),(AA440-(+AA440*U442)),IF(R442="Impacto",AA441,""))),"")</f>
        <v/>
      </c>
      <c r="Z442" s="231" t="s">
        <v>361</v>
      </c>
      <c r="AA442" s="232" t="s">
        <v>361</v>
      </c>
      <c r="AB442" s="231" t="s">
        <v>361</v>
      </c>
      <c r="AC442" s="232" t="s">
        <v>361</v>
      </c>
      <c r="AD442" s="233" t="s">
        <v>361</v>
      </c>
      <c r="AE442" s="234"/>
      <c r="AF442" s="235"/>
      <c r="AG442" s="236"/>
      <c r="AH442" s="236"/>
      <c r="AI442" s="236"/>
      <c r="AJ442" s="236"/>
      <c r="AK442" s="237"/>
      <c r="AL442" s="237"/>
      <c r="AM442" s="351"/>
      <c r="AN442" s="351"/>
    </row>
    <row r="443" spans="1:40">
      <c r="A443" s="342"/>
      <c r="B443" s="345"/>
      <c r="C443" s="345"/>
      <c r="D443" s="345"/>
      <c r="E443" s="345"/>
      <c r="F443" s="348"/>
      <c r="G443" s="345"/>
      <c r="H443" s="351"/>
      <c r="I443" s="354"/>
      <c r="J443" s="357"/>
      <c r="K443" s="360"/>
      <c r="L443" s="357">
        <v>0</v>
      </c>
      <c r="M443" s="354"/>
      <c r="N443" s="357"/>
      <c r="O443" s="363"/>
      <c r="P443" s="226">
        <v>5</v>
      </c>
      <c r="Q443" s="224"/>
      <c r="R443" s="227" t="s">
        <v>361</v>
      </c>
      <c r="S443" s="228"/>
      <c r="T443" s="228"/>
      <c r="U443" s="229" t="s">
        <v>361</v>
      </c>
      <c r="V443" s="228"/>
      <c r="W443" s="228"/>
      <c r="X443" s="228"/>
      <c r="Y443" s="230" t="str">
        <f t="shared" si="152"/>
        <v/>
      </c>
      <c r="Z443" s="231" t="s">
        <v>361</v>
      </c>
      <c r="AA443" s="232" t="s">
        <v>361</v>
      </c>
      <c r="AB443" s="231" t="s">
        <v>361</v>
      </c>
      <c r="AC443" s="232" t="s">
        <v>361</v>
      </c>
      <c r="AD443" s="233" t="s">
        <v>361</v>
      </c>
      <c r="AE443" s="234"/>
      <c r="AF443" s="235"/>
      <c r="AG443" s="236"/>
      <c r="AH443" s="236"/>
      <c r="AI443" s="236"/>
      <c r="AJ443" s="236"/>
      <c r="AK443" s="237"/>
      <c r="AL443" s="237"/>
      <c r="AM443" s="351"/>
      <c r="AN443" s="351"/>
    </row>
    <row r="444" spans="1:40">
      <c r="A444" s="343"/>
      <c r="B444" s="346"/>
      <c r="C444" s="346"/>
      <c r="D444" s="346"/>
      <c r="E444" s="346"/>
      <c r="F444" s="349"/>
      <c r="G444" s="346"/>
      <c r="H444" s="352"/>
      <c r="I444" s="355"/>
      <c r="J444" s="358"/>
      <c r="K444" s="361"/>
      <c r="L444" s="358">
        <v>0</v>
      </c>
      <c r="M444" s="355"/>
      <c r="N444" s="358"/>
      <c r="O444" s="364"/>
      <c r="P444" s="226">
        <v>6</v>
      </c>
      <c r="Q444" s="224"/>
      <c r="R444" s="227" t="s">
        <v>361</v>
      </c>
      <c r="S444" s="228"/>
      <c r="T444" s="228"/>
      <c r="U444" s="229" t="s">
        <v>361</v>
      </c>
      <c r="V444" s="228"/>
      <c r="W444" s="228"/>
      <c r="X444" s="228"/>
      <c r="Y444" s="230" t="str">
        <f t="shared" si="152"/>
        <v/>
      </c>
      <c r="Z444" s="231" t="s">
        <v>361</v>
      </c>
      <c r="AA444" s="232" t="s">
        <v>361</v>
      </c>
      <c r="AB444" s="231" t="s">
        <v>361</v>
      </c>
      <c r="AC444" s="232" t="s">
        <v>361</v>
      </c>
      <c r="AD444" s="233" t="s">
        <v>361</v>
      </c>
      <c r="AE444" s="234"/>
      <c r="AF444" s="235"/>
      <c r="AG444" s="236"/>
      <c r="AH444" s="236"/>
      <c r="AI444" s="236"/>
      <c r="AJ444" s="236"/>
      <c r="AK444" s="237"/>
      <c r="AL444" s="237"/>
      <c r="AM444" s="352"/>
      <c r="AN444" s="352"/>
    </row>
    <row r="445" spans="1:40" ht="94.5">
      <c r="A445" s="341">
        <v>73</v>
      </c>
      <c r="B445" s="344" t="s">
        <v>211</v>
      </c>
      <c r="C445" s="344" t="s">
        <v>125</v>
      </c>
      <c r="D445" s="344" t="s">
        <v>1113</v>
      </c>
      <c r="E445" s="344" t="s">
        <v>1187</v>
      </c>
      <c r="F445" s="347" t="s">
        <v>1188</v>
      </c>
      <c r="G445" s="344" t="s">
        <v>115</v>
      </c>
      <c r="H445" s="350">
        <v>500</v>
      </c>
      <c r="I445" s="353" t="s">
        <v>99</v>
      </c>
      <c r="J445" s="356">
        <v>0.6</v>
      </c>
      <c r="K445" s="359" t="s">
        <v>143</v>
      </c>
      <c r="L445" s="356" t="s">
        <v>143</v>
      </c>
      <c r="M445" s="353" t="s">
        <v>7</v>
      </c>
      <c r="N445" s="356">
        <v>0.8</v>
      </c>
      <c r="O445" s="362" t="s">
        <v>76</v>
      </c>
      <c r="P445" s="226">
        <v>1</v>
      </c>
      <c r="Q445" s="261" t="s">
        <v>1114</v>
      </c>
      <c r="R445" s="227" t="s">
        <v>4</v>
      </c>
      <c r="S445" s="228" t="s">
        <v>14</v>
      </c>
      <c r="T445" s="228" t="s">
        <v>9</v>
      </c>
      <c r="U445" s="229" t="s">
        <v>346</v>
      </c>
      <c r="V445" s="228" t="s">
        <v>19</v>
      </c>
      <c r="W445" s="228" t="s">
        <v>22</v>
      </c>
      <c r="X445" s="228" t="s">
        <v>111</v>
      </c>
      <c r="Y445" s="230">
        <f>IFERROR(IF(R445="Probabilidad",(J445-(+J445*U445)),IF(R445="Impacto",J445,"")),"")</f>
        <v>0.36</v>
      </c>
      <c r="Z445" s="231" t="s">
        <v>49</v>
      </c>
      <c r="AA445" s="232">
        <v>0.36</v>
      </c>
      <c r="AB445" s="231" t="s">
        <v>7</v>
      </c>
      <c r="AC445" s="232">
        <v>0.8</v>
      </c>
      <c r="AD445" s="233" t="s">
        <v>76</v>
      </c>
      <c r="AE445" s="234" t="s">
        <v>257</v>
      </c>
      <c r="AF445" s="240" t="s">
        <v>1115</v>
      </c>
      <c r="AG445" s="236" t="s">
        <v>1189</v>
      </c>
      <c r="AH445" s="236" t="s">
        <v>1116</v>
      </c>
      <c r="AI445" s="236" t="s">
        <v>1117</v>
      </c>
      <c r="AJ445" s="236" t="s">
        <v>1186</v>
      </c>
      <c r="AK445" s="237">
        <v>44684</v>
      </c>
      <c r="AL445" s="172">
        <v>44926</v>
      </c>
      <c r="AM445" s="350">
        <v>4096</v>
      </c>
      <c r="AN445" s="350"/>
    </row>
    <row r="446" spans="1:40" ht="108" customHeight="1">
      <c r="A446" s="342"/>
      <c r="B446" s="345"/>
      <c r="C446" s="345"/>
      <c r="D446" s="345"/>
      <c r="E446" s="345"/>
      <c r="F446" s="348"/>
      <c r="G446" s="345"/>
      <c r="H446" s="351"/>
      <c r="I446" s="354"/>
      <c r="J446" s="357"/>
      <c r="K446" s="360"/>
      <c r="L446" s="357">
        <v>0</v>
      </c>
      <c r="M446" s="354"/>
      <c r="N446" s="357"/>
      <c r="O446" s="363"/>
      <c r="P446" s="226">
        <v>2</v>
      </c>
      <c r="Q446" s="262" t="s">
        <v>1118</v>
      </c>
      <c r="R446" s="227" t="s">
        <v>4</v>
      </c>
      <c r="S446" s="228" t="s">
        <v>14</v>
      </c>
      <c r="T446" s="228" t="s">
        <v>9</v>
      </c>
      <c r="U446" s="229" t="s">
        <v>346</v>
      </c>
      <c r="V446" s="228" t="s">
        <v>19</v>
      </c>
      <c r="W446" s="228" t="s">
        <v>22</v>
      </c>
      <c r="X446" s="228" t="s">
        <v>111</v>
      </c>
      <c r="Y446" s="230">
        <f>IFERROR(IF(AND(R445="Probabilidad",R446="Probabilidad"),(AA445-(+AA445*U446)),IF(R446="Probabilidad",(J445-(+J445*U446)),IF(R446="Impacto",AA445,""))),"")</f>
        <v>0.216</v>
      </c>
      <c r="Z446" s="231" t="s">
        <v>49</v>
      </c>
      <c r="AA446" s="232">
        <v>0.216</v>
      </c>
      <c r="AB446" s="231" t="s">
        <v>7</v>
      </c>
      <c r="AC446" s="232">
        <v>0.8</v>
      </c>
      <c r="AD446" s="233" t="s">
        <v>76</v>
      </c>
      <c r="AE446" s="234" t="s">
        <v>257</v>
      </c>
      <c r="AF446" s="235" t="s">
        <v>1119</v>
      </c>
      <c r="AG446" s="236" t="s">
        <v>1189</v>
      </c>
      <c r="AH446" s="236" t="s">
        <v>1116</v>
      </c>
      <c r="AI446" s="236" t="s">
        <v>1117</v>
      </c>
      <c r="AJ446" s="236" t="s">
        <v>1186</v>
      </c>
      <c r="AK446" s="237">
        <v>44684</v>
      </c>
      <c r="AL446" s="172">
        <v>44926</v>
      </c>
      <c r="AM446" s="351"/>
      <c r="AN446" s="351"/>
    </row>
    <row r="447" spans="1:40">
      <c r="A447" s="342"/>
      <c r="B447" s="345"/>
      <c r="C447" s="345"/>
      <c r="D447" s="345"/>
      <c r="E447" s="345"/>
      <c r="F447" s="348"/>
      <c r="G447" s="345"/>
      <c r="H447" s="351"/>
      <c r="I447" s="354"/>
      <c r="J447" s="357"/>
      <c r="K447" s="360"/>
      <c r="L447" s="357">
        <v>0</v>
      </c>
      <c r="M447" s="354"/>
      <c r="N447" s="357"/>
      <c r="O447" s="363"/>
      <c r="P447" s="226">
        <v>3</v>
      </c>
      <c r="Q447" s="225"/>
      <c r="R447" s="227" t="s">
        <v>361</v>
      </c>
      <c r="S447" s="228"/>
      <c r="T447" s="228"/>
      <c r="U447" s="229" t="s">
        <v>361</v>
      </c>
      <c r="V447" s="228"/>
      <c r="W447" s="228"/>
      <c r="X447" s="228"/>
      <c r="Y447" s="230" t="str">
        <f>IFERROR(IF(AND(R446="Probabilidad",R447="Probabilidad"),(AA446-(+AA446*U447)),IF(AND(R446="Impacto",R447="Probabilidad"),(AA445-(+AA445*U447)),IF(R447="Impacto",AA446,""))),"")</f>
        <v/>
      </c>
      <c r="Z447" s="231" t="s">
        <v>361</v>
      </c>
      <c r="AA447" s="232" t="s">
        <v>361</v>
      </c>
      <c r="AB447" s="231" t="s">
        <v>361</v>
      </c>
      <c r="AC447" s="232" t="s">
        <v>361</v>
      </c>
      <c r="AD447" s="233" t="s">
        <v>361</v>
      </c>
      <c r="AE447" s="234"/>
      <c r="AF447" s="235"/>
      <c r="AG447" s="236"/>
      <c r="AH447" s="236"/>
      <c r="AI447" s="236"/>
      <c r="AJ447" s="236"/>
      <c r="AK447" s="237"/>
      <c r="AL447" s="237"/>
      <c r="AM447" s="351"/>
      <c r="AN447" s="351"/>
    </row>
    <row r="448" spans="1:40" ht="16.5" customHeight="1">
      <c r="A448" s="342"/>
      <c r="B448" s="345"/>
      <c r="C448" s="345"/>
      <c r="D448" s="345"/>
      <c r="E448" s="345"/>
      <c r="F448" s="348"/>
      <c r="G448" s="345"/>
      <c r="H448" s="351"/>
      <c r="I448" s="354"/>
      <c r="J448" s="357"/>
      <c r="K448" s="360"/>
      <c r="L448" s="357">
        <v>0</v>
      </c>
      <c r="M448" s="354"/>
      <c r="N448" s="357"/>
      <c r="O448" s="363"/>
      <c r="P448" s="226">
        <v>4</v>
      </c>
      <c r="Q448" s="224"/>
      <c r="R448" s="227" t="s">
        <v>361</v>
      </c>
      <c r="S448" s="228"/>
      <c r="T448" s="228"/>
      <c r="U448" s="229" t="s">
        <v>361</v>
      </c>
      <c r="V448" s="228"/>
      <c r="W448" s="228"/>
      <c r="X448" s="228"/>
      <c r="Y448" s="230" t="str">
        <f t="shared" ref="Y448:Y450" si="153">IFERROR(IF(AND(R447="Probabilidad",R448="Probabilidad"),(AA447-(+AA447*U448)),IF(AND(R447="Impacto",R448="Probabilidad"),(AA446-(+AA446*U448)),IF(R448="Impacto",AA447,""))),"")</f>
        <v/>
      </c>
      <c r="Z448" s="231" t="s">
        <v>361</v>
      </c>
      <c r="AA448" s="232" t="s">
        <v>361</v>
      </c>
      <c r="AB448" s="231" t="s">
        <v>361</v>
      </c>
      <c r="AC448" s="232" t="s">
        <v>361</v>
      </c>
      <c r="AD448" s="233" t="s">
        <v>361</v>
      </c>
      <c r="AE448" s="234"/>
      <c r="AF448" s="235"/>
      <c r="AG448" s="236"/>
      <c r="AH448" s="236"/>
      <c r="AI448" s="236"/>
      <c r="AJ448" s="236"/>
      <c r="AK448" s="237"/>
      <c r="AL448" s="237"/>
      <c r="AM448" s="351"/>
      <c r="AN448" s="351"/>
    </row>
    <row r="449" spans="1:40">
      <c r="A449" s="342"/>
      <c r="B449" s="345"/>
      <c r="C449" s="345"/>
      <c r="D449" s="345"/>
      <c r="E449" s="345"/>
      <c r="F449" s="348"/>
      <c r="G449" s="345"/>
      <c r="H449" s="351"/>
      <c r="I449" s="354"/>
      <c r="J449" s="357"/>
      <c r="K449" s="360"/>
      <c r="L449" s="357">
        <v>0</v>
      </c>
      <c r="M449" s="354"/>
      <c r="N449" s="357"/>
      <c r="O449" s="363"/>
      <c r="P449" s="226">
        <v>5</v>
      </c>
      <c r="Q449" s="224"/>
      <c r="R449" s="227" t="s">
        <v>361</v>
      </c>
      <c r="S449" s="228"/>
      <c r="T449" s="228"/>
      <c r="U449" s="229" t="s">
        <v>361</v>
      </c>
      <c r="V449" s="228"/>
      <c r="W449" s="228"/>
      <c r="X449" s="228"/>
      <c r="Y449" s="230" t="str">
        <f t="shared" si="153"/>
        <v/>
      </c>
      <c r="Z449" s="231" t="s">
        <v>361</v>
      </c>
      <c r="AA449" s="232" t="s">
        <v>361</v>
      </c>
      <c r="AB449" s="231" t="s">
        <v>361</v>
      </c>
      <c r="AC449" s="232" t="s">
        <v>361</v>
      </c>
      <c r="AD449" s="233" t="s">
        <v>361</v>
      </c>
      <c r="AE449" s="234"/>
      <c r="AF449" s="235"/>
      <c r="AG449" s="236"/>
      <c r="AH449" s="236"/>
      <c r="AI449" s="236"/>
      <c r="AJ449" s="236"/>
      <c r="AK449" s="237"/>
      <c r="AL449" s="237"/>
      <c r="AM449" s="351"/>
      <c r="AN449" s="351"/>
    </row>
    <row r="450" spans="1:40">
      <c r="A450" s="343"/>
      <c r="B450" s="346"/>
      <c r="C450" s="346"/>
      <c r="D450" s="346"/>
      <c r="E450" s="346"/>
      <c r="F450" s="349"/>
      <c r="G450" s="346"/>
      <c r="H450" s="352"/>
      <c r="I450" s="355"/>
      <c r="J450" s="358"/>
      <c r="K450" s="361"/>
      <c r="L450" s="358">
        <v>0</v>
      </c>
      <c r="M450" s="355"/>
      <c r="N450" s="358"/>
      <c r="O450" s="364"/>
      <c r="P450" s="226">
        <v>6</v>
      </c>
      <c r="Q450" s="224"/>
      <c r="R450" s="227" t="s">
        <v>361</v>
      </c>
      <c r="S450" s="228"/>
      <c r="T450" s="228"/>
      <c r="U450" s="229" t="s">
        <v>361</v>
      </c>
      <c r="V450" s="228"/>
      <c r="W450" s="228"/>
      <c r="X450" s="228"/>
      <c r="Y450" s="230" t="str">
        <f t="shared" si="153"/>
        <v/>
      </c>
      <c r="Z450" s="231" t="s">
        <v>361</v>
      </c>
      <c r="AA450" s="232" t="s">
        <v>361</v>
      </c>
      <c r="AB450" s="231" t="s">
        <v>361</v>
      </c>
      <c r="AC450" s="232" t="s">
        <v>361</v>
      </c>
      <c r="AD450" s="233" t="s">
        <v>361</v>
      </c>
      <c r="AE450" s="234"/>
      <c r="AF450" s="235"/>
      <c r="AG450" s="236"/>
      <c r="AH450" s="236"/>
      <c r="AI450" s="236"/>
      <c r="AJ450" s="236"/>
      <c r="AK450" s="237"/>
      <c r="AL450" s="237"/>
      <c r="AM450" s="352"/>
      <c r="AN450" s="352"/>
    </row>
    <row r="451" spans="1:40" ht="121.5">
      <c r="A451" s="341">
        <v>74</v>
      </c>
      <c r="B451" s="424" t="s">
        <v>214</v>
      </c>
      <c r="C451" s="424" t="s">
        <v>123</v>
      </c>
      <c r="D451" s="424" t="s">
        <v>1099</v>
      </c>
      <c r="E451" s="424" t="s">
        <v>1100</v>
      </c>
      <c r="F451" s="425" t="s">
        <v>1101</v>
      </c>
      <c r="G451" s="424" t="s">
        <v>115</v>
      </c>
      <c r="H451" s="426">
        <v>98</v>
      </c>
      <c r="I451" s="422" t="str">
        <f>IF(H451&lt;=0,"",IF(H451&lt;=2,"Muy Baja",IF(H451&lt;=24,"Baja",IF(H451&lt;=500,"Media",IF(H451&lt;=5000,"Alta","Muy Alta")))))</f>
        <v>Media</v>
      </c>
      <c r="J451" s="419">
        <f>IF(I451="","",IF(I451="Muy Baja",0.2,IF(I451="Baja",0.4,IF(I451="Media",0.6,IF(I451="Alta",0.8,IF(I451="Muy Alta",1,))))))</f>
        <v>0.6</v>
      </c>
      <c r="K451" s="419" t="s">
        <v>142</v>
      </c>
      <c r="L451" s="419" t="str">
        <f>IF(NOT(ISERROR(MATCH(K451,'[8]Tabla Impacto'!$B$221:$B$223,0))),'[8]Tabla Impacto'!$F$223&amp;"Por favor no seleccionar los criterios de impacto(Afectación Económica o presupuestal y Pérdida Reputacional)",K451)</f>
        <v xml:space="preserve">     El riesgo afecta la imagen de la entidad con algunos usuarios de relevancia frente al logro de los objetivos</v>
      </c>
      <c r="M451" s="422" t="str">
        <f>IF(OR(L451='[8]Tabla Impacto'!$C$11,L451='[8]Tabla Impacto'!$D$11),"Leve",IF(OR(L451='[8]Tabla Impacto'!$C$12,L451='[8]Tabla Impacto'!$D$12),"Menor",IF(OR(L451='[8]Tabla Impacto'!$C$13,L451='[8]Tabla Impacto'!$D$13),"Moderado",IF(OR(L451='[8]Tabla Impacto'!$C$14,L451='[8]Tabla Impacto'!$D$14),"Mayor",IF(OR(L451='[8]Tabla Impacto'!$C$15,L451='[8]Tabla Impacto'!$D$15),"Catastrófico","")))))</f>
        <v>Moderado</v>
      </c>
      <c r="N451" s="419">
        <f>IF(M451="","",IF(M451="Leve",0.2,IF(M451="Menor",0.4,IF(M451="Moderado",0.6,IF(M451="Mayor",0.8,IF(M451="Catastrófico",1,))))))</f>
        <v>0.6</v>
      </c>
      <c r="O451" s="423" t="str">
        <f>IF(OR(AND(I451="Muy Baja",M451="Leve"),AND(I451="Muy Baja",M451="Menor"),AND(I451="Baja",M451="Leve")),"Bajo",IF(OR(AND(I451="Muy baja",M451="Moderado"),AND(I451="Baja",M451="Menor"),AND(I451="Baja",M451="Moderado"),AND(I451="Media",M451="Leve"),AND(I451="Media",M451="Menor"),AND(I451="Media",M451="Moderado"),AND(I451="Alta",M451="Leve"),AND(I451="Alta",M451="Menor")),"Moderado",IF(OR(AND(I451="Muy Baja",M451="Mayor"),AND(I451="Baja",M451="Mayor"),AND(I451="Media",M451="Mayor"),AND(I451="Alta",M451="Moderado"),AND(I451="Alta",M451="Mayor"),AND(I451="Muy Alta",M451="Leve"),AND(I451="Muy Alta",M451="Menor"),AND(I451="Muy Alta",M451="Moderado"),AND(I451="Muy Alta",M451="Mayor")),"Alto",IF(OR(AND(I451="Muy Baja",M451="Catastrófico"),AND(I451="Baja",M451="Catastrófico"),AND(I451="Media",M451="Catastrófico"),AND(I451="Alta",M451="Catastrófico"),AND(I451="Muy Alta",M451="Catastrófico")),"Extremo",""))))</f>
        <v>Moderado</v>
      </c>
      <c r="P451" s="241">
        <v>1</v>
      </c>
      <c r="Q451" s="258" t="s">
        <v>1102</v>
      </c>
      <c r="R451" s="241" t="str">
        <f t="shared" ref="R451:R462" si="154">IF(OR(S451="Preventivo",S451="Detectivo"),"Probabilidad",IF(S451="Correctivo","Impacto",""))</f>
        <v>Probabilidad</v>
      </c>
      <c r="S451" s="259" t="s">
        <v>15</v>
      </c>
      <c r="T451" s="243" t="s">
        <v>9</v>
      </c>
      <c r="U451" s="244" t="str">
        <f t="shared" ref="U451:U462" si="155">IF(AND(S451="Preventivo",T451="Automático"),"50%",IF(AND(S451="Preventivo",T451="Manual"),"40%",IF(AND(S451="Detectivo",T451="Automático"),"40%",IF(AND(S451="Detectivo",T451="Manual"),"30%",IF(AND(S451="Correctivo",T451="Automático"),"35%",IF(AND(S451="Correctivo",T451="Manual"),"25%",""))))))</f>
        <v>30%</v>
      </c>
      <c r="V451" s="243" t="s">
        <v>19</v>
      </c>
      <c r="W451" s="243" t="s">
        <v>22</v>
      </c>
      <c r="X451" s="243" t="s">
        <v>111</v>
      </c>
      <c r="Y451" s="245">
        <f>IFERROR(IF(R451="Probabilidad",(J451-(+J451*U451)),IF(R451="Impacto",J451,"")),"")</f>
        <v>0.42</v>
      </c>
      <c r="Z451" s="246" t="str">
        <f t="shared" ref="Z451:Z462" si="156">IFERROR(IF(Y451="","",IF(Y451&lt;=0.2,"Muy Baja",IF(Y451&lt;=0.4,"Baja",IF(Y451&lt;=0.6,"Media",IF(Y451&lt;=0.8,"Alta","Muy Alta"))))),"")</f>
        <v>Media</v>
      </c>
      <c r="AA451" s="247">
        <f t="shared" ref="AA451:AA462" si="157">+Y451</f>
        <v>0.42</v>
      </c>
      <c r="AB451" s="246" t="str">
        <f t="shared" ref="AB451:AB462" si="158">IFERROR(IF(AC451="","",IF(AC451&lt;=0.2,"Leve",IF(AC451&lt;=0.4,"Menor",IF(AC451&lt;=0.6,"Moderado",IF(AC451&lt;=0.8,"Mayor","Catastrófico"))))),"")</f>
        <v>Moderado</v>
      </c>
      <c r="AC451" s="247">
        <f>IFERROR(IF(R451="Impacto",(N451-(+N451*U451)),IF(R451="Probabilidad",N451,"")),"")</f>
        <v>0.6</v>
      </c>
      <c r="AD451" s="248" t="str">
        <f t="shared" ref="AD451:AD462" si="159">IFERROR(IF(OR(AND(Z451="Muy Baja",AB451="Leve"),AND(Z451="Muy Baja",AB451="Menor"),AND(Z451="Baja",AB451="Leve")),"Bajo",IF(OR(AND(Z451="Muy baja",AB451="Moderado"),AND(Z451="Baja",AB451="Menor"),AND(Z451="Baja",AB451="Moderado"),AND(Z451="Media",AB451="Leve"),AND(Z451="Media",AB451="Menor"),AND(Z451="Media",AB451="Moderado"),AND(Z451="Alta",AB451="Leve"),AND(Z451="Alta",AB451="Menor")),"Moderado",IF(OR(AND(Z451="Muy Baja",AB451="Mayor"),AND(Z451="Baja",AB451="Mayor"),AND(Z451="Media",AB451="Mayor"),AND(Z451="Alta",AB451="Moderado"),AND(Z451="Alta",AB451="Mayor"),AND(Z451="Muy Alta",AB451="Leve"),AND(Z451="Muy Alta",AB451="Menor"),AND(Z451="Muy Alta",AB451="Moderado"),AND(Z451="Muy Alta",AB451="Mayor")),"Alto",IF(OR(AND(Z451="Muy Baja",AB451="Catastrófico"),AND(Z451="Baja",AB451="Catastrófico"),AND(Z451="Media",AB451="Catastrófico"),AND(Z451="Alta",AB451="Catastrófico"),AND(Z451="Muy Alta",AB451="Catastrófico")),"Extremo","")))),"")</f>
        <v>Moderado</v>
      </c>
      <c r="AE451" s="249" t="s">
        <v>257</v>
      </c>
      <c r="AF451" s="250" t="s">
        <v>1103</v>
      </c>
      <c r="AG451" s="251" t="s">
        <v>1093</v>
      </c>
      <c r="AH451" s="251" t="s">
        <v>804</v>
      </c>
      <c r="AI451" s="251" t="s">
        <v>1094</v>
      </c>
      <c r="AJ451" s="251" t="s">
        <v>1095</v>
      </c>
      <c r="AK451" s="251" t="s">
        <v>1104</v>
      </c>
      <c r="AL451" s="251" t="s">
        <v>1096</v>
      </c>
      <c r="AM451" s="344">
        <v>4137</v>
      </c>
      <c r="AN451" s="350"/>
    </row>
    <row r="452" spans="1:40" ht="108">
      <c r="A452" s="342"/>
      <c r="B452" s="420"/>
      <c r="C452" s="420"/>
      <c r="D452" s="420"/>
      <c r="E452" s="420"/>
      <c r="F452" s="420"/>
      <c r="G452" s="420"/>
      <c r="H452" s="420"/>
      <c r="I452" s="420"/>
      <c r="J452" s="420"/>
      <c r="K452" s="420"/>
      <c r="L452" s="420"/>
      <c r="M452" s="420"/>
      <c r="N452" s="420"/>
      <c r="O452" s="420"/>
      <c r="P452" s="241">
        <v>2</v>
      </c>
      <c r="Q452" s="242" t="s">
        <v>1105</v>
      </c>
      <c r="R452" s="241" t="str">
        <f t="shared" si="154"/>
        <v>Probabilidad</v>
      </c>
      <c r="S452" s="243" t="s">
        <v>14</v>
      </c>
      <c r="T452" s="243" t="s">
        <v>9</v>
      </c>
      <c r="U452" s="244" t="str">
        <f t="shared" si="155"/>
        <v>40%</v>
      </c>
      <c r="V452" s="243" t="s">
        <v>19</v>
      </c>
      <c r="W452" s="243" t="s">
        <v>22</v>
      </c>
      <c r="X452" s="243" t="s">
        <v>111</v>
      </c>
      <c r="Y452" s="245">
        <f>IFERROR(IF(AND(R451="Probabilidad",R452="Probabilidad"),(AA451-(+AA451*U452)),IF(R452="Probabilidad",(J451-(+J451*U452)),IF(R452="Impacto",AA451,""))),"")</f>
        <v>0.252</v>
      </c>
      <c r="Z452" s="246" t="str">
        <f t="shared" si="156"/>
        <v>Baja</v>
      </c>
      <c r="AA452" s="247">
        <f t="shared" si="157"/>
        <v>0.252</v>
      </c>
      <c r="AB452" s="246" t="str">
        <f t="shared" si="158"/>
        <v>Moderado</v>
      </c>
      <c r="AC452" s="247">
        <f>IFERROR(IF(AND(R451="Impacto",R452="Impacto"),(AC451-(+AC451*U452)),IF(R452="Impacto",(N451-(+N451*U452)),IF(R452="Probabilidad",AC451,""))),"")</f>
        <v>0.6</v>
      </c>
      <c r="AD452" s="248" t="str">
        <f t="shared" si="159"/>
        <v>Moderado</v>
      </c>
      <c r="AE452" s="249" t="s">
        <v>257</v>
      </c>
      <c r="AF452" s="260" t="s">
        <v>1106</v>
      </c>
      <c r="AG452" s="251" t="s">
        <v>1093</v>
      </c>
      <c r="AH452" s="251" t="s">
        <v>804</v>
      </c>
      <c r="AI452" s="251" t="s">
        <v>1094</v>
      </c>
      <c r="AJ452" s="251" t="s">
        <v>1095</v>
      </c>
      <c r="AK452" s="251" t="s">
        <v>1104</v>
      </c>
      <c r="AL452" s="251" t="s">
        <v>1096</v>
      </c>
      <c r="AM452" s="351"/>
      <c r="AN452" s="351"/>
    </row>
    <row r="453" spans="1:40" ht="135">
      <c r="A453" s="342"/>
      <c r="B453" s="420"/>
      <c r="C453" s="420"/>
      <c r="D453" s="420"/>
      <c r="E453" s="420"/>
      <c r="F453" s="420"/>
      <c r="G453" s="420"/>
      <c r="H453" s="420"/>
      <c r="I453" s="420"/>
      <c r="J453" s="420"/>
      <c r="K453" s="420"/>
      <c r="L453" s="420"/>
      <c r="M453" s="420"/>
      <c r="N453" s="420"/>
      <c r="O453" s="420"/>
      <c r="P453" s="241">
        <v>3</v>
      </c>
      <c r="Q453" s="242" t="s">
        <v>1107</v>
      </c>
      <c r="R453" s="241" t="str">
        <f t="shared" si="154"/>
        <v>Probabilidad</v>
      </c>
      <c r="S453" s="243" t="s">
        <v>14</v>
      </c>
      <c r="T453" s="243" t="s">
        <v>9</v>
      </c>
      <c r="U453" s="244" t="str">
        <f t="shared" si="155"/>
        <v>40%</v>
      </c>
      <c r="V453" s="243" t="s">
        <v>19</v>
      </c>
      <c r="W453" s="243" t="s">
        <v>22</v>
      </c>
      <c r="X453" s="243" t="s">
        <v>111</v>
      </c>
      <c r="Y453" s="245">
        <f t="shared" ref="Y453:Y456" si="160">IFERROR(IF(AND(R452="Probabilidad",R453="Probabilidad"),(AA452-(+AA452*U453)),IF(AND(R452="Impacto",R453="Probabilidad"),(AA451-(+AA451*U453)),IF(R453="Impacto",AA452,""))),"")</f>
        <v>0.1512</v>
      </c>
      <c r="Z453" s="246" t="str">
        <f t="shared" si="156"/>
        <v>Muy Baja</v>
      </c>
      <c r="AA453" s="247">
        <f t="shared" si="157"/>
        <v>0.1512</v>
      </c>
      <c r="AB453" s="246" t="str">
        <f t="shared" si="158"/>
        <v>Moderado</v>
      </c>
      <c r="AC453" s="247">
        <f t="shared" ref="AC453:AC456" si="161">IFERROR(IF(AND(R452="Impacto",R453="Impacto"),(AC452-(+AC452*U453)),IF(AND(R452="Probabilidad",R453="Impacto"),(AC451-(+AC451*U453)),IF(R453="Probabilidad",AC452,""))),"")</f>
        <v>0.6</v>
      </c>
      <c r="AD453" s="248" t="str">
        <f t="shared" si="159"/>
        <v>Moderado</v>
      </c>
      <c r="AE453" s="249" t="s">
        <v>257</v>
      </c>
      <c r="AF453" s="260" t="s">
        <v>1108</v>
      </c>
      <c r="AG453" s="251" t="s">
        <v>1093</v>
      </c>
      <c r="AH453" s="251" t="s">
        <v>804</v>
      </c>
      <c r="AI453" s="251" t="s">
        <v>1094</v>
      </c>
      <c r="AJ453" s="251" t="s">
        <v>1095</v>
      </c>
      <c r="AK453" s="251" t="s">
        <v>1104</v>
      </c>
      <c r="AL453" s="251" t="s">
        <v>1096</v>
      </c>
      <c r="AM453" s="351"/>
      <c r="AN453" s="351"/>
    </row>
    <row r="454" spans="1:40" ht="108">
      <c r="A454" s="342"/>
      <c r="B454" s="420"/>
      <c r="C454" s="420"/>
      <c r="D454" s="420"/>
      <c r="E454" s="420"/>
      <c r="F454" s="420"/>
      <c r="G454" s="420"/>
      <c r="H454" s="420"/>
      <c r="I454" s="420"/>
      <c r="J454" s="420"/>
      <c r="K454" s="420"/>
      <c r="L454" s="420"/>
      <c r="M454" s="420"/>
      <c r="N454" s="420"/>
      <c r="O454" s="420"/>
      <c r="P454" s="241">
        <v>4</v>
      </c>
      <c r="Q454" s="258" t="s">
        <v>1091</v>
      </c>
      <c r="R454" s="241" t="str">
        <f t="shared" si="154"/>
        <v>Probabilidad</v>
      </c>
      <c r="S454" s="243" t="s">
        <v>15</v>
      </c>
      <c r="T454" s="243" t="s">
        <v>9</v>
      </c>
      <c r="U454" s="244" t="str">
        <f t="shared" si="155"/>
        <v>30%</v>
      </c>
      <c r="V454" s="243" t="s">
        <v>20</v>
      </c>
      <c r="W454" s="243" t="s">
        <v>23</v>
      </c>
      <c r="X454" s="243" t="s">
        <v>111</v>
      </c>
      <c r="Y454" s="245">
        <f t="shared" si="160"/>
        <v>0.10584</v>
      </c>
      <c r="Z454" s="246" t="str">
        <f t="shared" si="156"/>
        <v>Muy Baja</v>
      </c>
      <c r="AA454" s="247">
        <f t="shared" si="157"/>
        <v>0.10584</v>
      </c>
      <c r="AB454" s="246" t="str">
        <f t="shared" si="158"/>
        <v>Moderado</v>
      </c>
      <c r="AC454" s="247">
        <f t="shared" si="161"/>
        <v>0.6</v>
      </c>
      <c r="AD454" s="248" t="str">
        <f t="shared" si="159"/>
        <v>Moderado</v>
      </c>
      <c r="AE454" s="249" t="s">
        <v>257</v>
      </c>
      <c r="AF454" s="254"/>
      <c r="AG454" s="255"/>
      <c r="AH454" s="255"/>
      <c r="AI454" s="255"/>
      <c r="AJ454" s="255"/>
      <c r="AK454" s="256"/>
      <c r="AL454" s="256"/>
      <c r="AM454" s="351"/>
      <c r="AN454" s="351"/>
    </row>
    <row r="455" spans="1:40" ht="121.5">
      <c r="A455" s="342"/>
      <c r="B455" s="420"/>
      <c r="C455" s="420"/>
      <c r="D455" s="420"/>
      <c r="E455" s="420"/>
      <c r="F455" s="420"/>
      <c r="G455" s="420"/>
      <c r="H455" s="420"/>
      <c r="I455" s="420"/>
      <c r="J455" s="420"/>
      <c r="K455" s="420"/>
      <c r="L455" s="420"/>
      <c r="M455" s="420"/>
      <c r="N455" s="420"/>
      <c r="O455" s="420"/>
      <c r="P455" s="241">
        <v>5</v>
      </c>
      <c r="Q455" s="258" t="s">
        <v>1109</v>
      </c>
      <c r="R455" s="241" t="str">
        <f t="shared" si="154"/>
        <v>Probabilidad</v>
      </c>
      <c r="S455" s="243" t="s">
        <v>14</v>
      </c>
      <c r="T455" s="243" t="s">
        <v>9</v>
      </c>
      <c r="U455" s="244" t="str">
        <f t="shared" si="155"/>
        <v>40%</v>
      </c>
      <c r="V455" s="243" t="s">
        <v>19</v>
      </c>
      <c r="W455" s="243" t="s">
        <v>22</v>
      </c>
      <c r="X455" s="243" t="s">
        <v>111</v>
      </c>
      <c r="Y455" s="245">
        <f t="shared" si="160"/>
        <v>6.3504000000000005E-2</v>
      </c>
      <c r="Z455" s="246" t="str">
        <f t="shared" si="156"/>
        <v>Muy Baja</v>
      </c>
      <c r="AA455" s="247">
        <f t="shared" si="157"/>
        <v>6.3504000000000005E-2</v>
      </c>
      <c r="AB455" s="246" t="str">
        <f t="shared" si="158"/>
        <v>Moderado</v>
      </c>
      <c r="AC455" s="247">
        <f t="shared" si="161"/>
        <v>0.6</v>
      </c>
      <c r="AD455" s="248" t="str">
        <f t="shared" si="159"/>
        <v>Moderado</v>
      </c>
      <c r="AE455" s="249" t="s">
        <v>257</v>
      </c>
      <c r="AF455" s="254"/>
      <c r="AG455" s="255"/>
      <c r="AH455" s="255"/>
      <c r="AI455" s="255"/>
      <c r="AJ455" s="255"/>
      <c r="AK455" s="256"/>
      <c r="AL455" s="256"/>
      <c r="AM455" s="351"/>
      <c r="AN455" s="351"/>
    </row>
    <row r="456" spans="1:40" ht="108">
      <c r="A456" s="343"/>
      <c r="B456" s="420"/>
      <c r="C456" s="420"/>
      <c r="D456" s="420"/>
      <c r="E456" s="420"/>
      <c r="F456" s="420"/>
      <c r="G456" s="420"/>
      <c r="H456" s="420"/>
      <c r="I456" s="420"/>
      <c r="J456" s="420"/>
      <c r="K456" s="420"/>
      <c r="L456" s="421"/>
      <c r="M456" s="420"/>
      <c r="N456" s="420"/>
      <c r="O456" s="420"/>
      <c r="P456" s="241">
        <v>6</v>
      </c>
      <c r="Q456" s="258" t="s">
        <v>1110</v>
      </c>
      <c r="R456" s="241" t="str">
        <f t="shared" si="154"/>
        <v>Probabilidad</v>
      </c>
      <c r="S456" s="243" t="s">
        <v>15</v>
      </c>
      <c r="T456" s="243" t="s">
        <v>9</v>
      </c>
      <c r="U456" s="244" t="str">
        <f t="shared" si="155"/>
        <v>30%</v>
      </c>
      <c r="V456" s="243" t="s">
        <v>19</v>
      </c>
      <c r="W456" s="243" t="s">
        <v>22</v>
      </c>
      <c r="X456" s="243" t="s">
        <v>111</v>
      </c>
      <c r="Y456" s="245">
        <f t="shared" si="160"/>
        <v>4.4452800000000001E-2</v>
      </c>
      <c r="Z456" s="246" t="str">
        <f t="shared" si="156"/>
        <v>Muy Baja</v>
      </c>
      <c r="AA456" s="247">
        <f t="shared" si="157"/>
        <v>4.4452800000000001E-2</v>
      </c>
      <c r="AB456" s="246" t="str">
        <f t="shared" si="158"/>
        <v>Moderado</v>
      </c>
      <c r="AC456" s="247">
        <f t="shared" si="161"/>
        <v>0.6</v>
      </c>
      <c r="AD456" s="248" t="str">
        <f t="shared" si="159"/>
        <v>Moderado</v>
      </c>
      <c r="AE456" s="249" t="s">
        <v>257</v>
      </c>
      <c r="AF456" s="254"/>
      <c r="AG456" s="255"/>
      <c r="AH456" s="255"/>
      <c r="AI456" s="255"/>
      <c r="AJ456" s="255"/>
      <c r="AK456" s="256"/>
      <c r="AL456" s="256"/>
      <c r="AM456" s="352"/>
      <c r="AN456" s="352"/>
    </row>
    <row r="457" spans="1:40" ht="108">
      <c r="A457" s="341">
        <v>75</v>
      </c>
      <c r="B457" s="424" t="s">
        <v>214</v>
      </c>
      <c r="C457" s="424" t="s">
        <v>123</v>
      </c>
      <c r="D457" s="424" t="s">
        <v>1088</v>
      </c>
      <c r="E457" s="424" t="s">
        <v>1089</v>
      </c>
      <c r="F457" s="425" t="s">
        <v>1090</v>
      </c>
      <c r="G457" s="424" t="s">
        <v>115</v>
      </c>
      <c r="H457" s="426">
        <v>52</v>
      </c>
      <c r="I457" s="422" t="str">
        <f>IF(H457&lt;=0,"",IF(H457&lt;=2,"Muy Baja",IF(H457&lt;=24,"Baja",IF(H457&lt;=500,"Media",IF(H457&lt;=5000,"Alta","Muy Alta")))))</f>
        <v>Media</v>
      </c>
      <c r="J457" s="419">
        <f>IF(I457="","",IF(I457="Muy Baja",0.2,IF(I457="Baja",0.4,IF(I457="Media",0.6,IF(I457="Alta",0.8,IF(I457="Muy Alta",1,))))))</f>
        <v>0.6</v>
      </c>
      <c r="K457" s="419" t="s">
        <v>142</v>
      </c>
      <c r="L457" s="419" t="str">
        <f>IF(NOT(ISERROR(MATCH(K457,'[8]Tabla Impacto'!$B$221:$B$223,0))),'[8]Tabla Impacto'!$F$223&amp;"Por favor no seleccionar los criterios de impacto(Afectación Económica o presupuestal y Pérdida Reputacional)",K457)</f>
        <v xml:space="preserve">     El riesgo afecta la imagen de la entidad con algunos usuarios de relevancia frente al logro de los objetivos</v>
      </c>
      <c r="M457" s="422" t="str">
        <f>IF(OR(L457='[8]Tabla Impacto'!$C$11,L457='[8]Tabla Impacto'!$D$11),"Leve",IF(OR(L457='[8]Tabla Impacto'!$C$12,L457='[8]Tabla Impacto'!$D$12),"Menor",IF(OR(L457='[8]Tabla Impacto'!$C$13,L457='[8]Tabla Impacto'!$D$13),"Moderado",IF(OR(L457='[8]Tabla Impacto'!$C$14,L457='[8]Tabla Impacto'!$D$14),"Mayor",IF(OR(L457='[8]Tabla Impacto'!$C$15,L457='[8]Tabla Impacto'!$D$15),"Catastrófico","")))))</f>
        <v>Moderado</v>
      </c>
      <c r="N457" s="419">
        <f>IF(M457="","",IF(M457="Leve",0.2,IF(M457="Menor",0.4,IF(M457="Moderado",0.6,IF(M457="Mayor",0.8,IF(M457="Catastrófico",1,))))))</f>
        <v>0.6</v>
      </c>
      <c r="O457" s="423" t="str">
        <f>IF(OR(AND(I457="Muy Baja",M457="Leve"),AND(I457="Muy Baja",M457="Menor"),AND(I457="Baja",M457="Leve")),"Bajo",IF(OR(AND(I457="Muy baja",M457="Moderado"),AND(I457="Baja",M457="Menor"),AND(I457="Baja",M457="Moderado"),AND(I457="Media",M457="Leve"),AND(I457="Media",M457="Menor"),AND(I457="Media",M457="Moderado"),AND(I457="Alta",M457="Leve"),AND(I457="Alta",M457="Menor")),"Moderado",IF(OR(AND(I457="Muy Baja",M457="Mayor"),AND(I457="Baja",M457="Mayor"),AND(I457="Media",M457="Mayor"),AND(I457="Alta",M457="Moderado"),AND(I457="Alta",M457="Mayor"),AND(I457="Muy Alta",M457="Leve"),AND(I457="Muy Alta",M457="Menor"),AND(I457="Muy Alta",M457="Moderado"),AND(I457="Muy Alta",M457="Mayor")),"Alto",IF(OR(AND(I457="Muy Baja",M457="Catastrófico"),AND(I457="Baja",M457="Catastrófico"),AND(I457="Media",M457="Catastrófico"),AND(I457="Alta",M457="Catastrófico"),AND(I457="Muy Alta",M457="Catastrófico")),"Extremo",""))))</f>
        <v>Moderado</v>
      </c>
      <c r="P457" s="241">
        <v>1</v>
      </c>
      <c r="Q457" s="242" t="s">
        <v>1091</v>
      </c>
      <c r="R457" s="241" t="str">
        <f t="shared" si="154"/>
        <v>Probabilidad</v>
      </c>
      <c r="S457" s="243" t="s">
        <v>15</v>
      </c>
      <c r="T457" s="243" t="s">
        <v>9</v>
      </c>
      <c r="U457" s="244" t="str">
        <f t="shared" si="155"/>
        <v>30%</v>
      </c>
      <c r="V457" s="243" t="s">
        <v>20</v>
      </c>
      <c r="W457" s="243" t="s">
        <v>23</v>
      </c>
      <c r="X457" s="243" t="s">
        <v>111</v>
      </c>
      <c r="Y457" s="245">
        <f>IFERROR(IF(R457="Probabilidad",(J457-(+J457*U457)),IF(R457="Impacto",J457,"")),"")</f>
        <v>0.42</v>
      </c>
      <c r="Z457" s="246" t="str">
        <f t="shared" si="156"/>
        <v>Media</v>
      </c>
      <c r="AA457" s="247">
        <f t="shared" si="157"/>
        <v>0.42</v>
      </c>
      <c r="AB457" s="246" t="str">
        <f t="shared" si="158"/>
        <v>Moderado</v>
      </c>
      <c r="AC457" s="247">
        <f>IFERROR(IF(R457="Impacto",(N457-(+N457*U457)),IF(R457="Probabilidad",N457,"")),"")</f>
        <v>0.6</v>
      </c>
      <c r="AD457" s="248" t="str">
        <f t="shared" si="159"/>
        <v>Moderado</v>
      </c>
      <c r="AE457" s="249" t="s">
        <v>257</v>
      </c>
      <c r="AF457" s="250" t="s">
        <v>1092</v>
      </c>
      <c r="AG457" s="251" t="s">
        <v>1093</v>
      </c>
      <c r="AH457" s="251" t="s">
        <v>804</v>
      </c>
      <c r="AI457" s="251" t="s">
        <v>1094</v>
      </c>
      <c r="AJ457" s="251" t="s">
        <v>1095</v>
      </c>
      <c r="AK457" s="252">
        <v>44568</v>
      </c>
      <c r="AL457" s="251" t="s">
        <v>1096</v>
      </c>
      <c r="AM457" s="344">
        <v>4139</v>
      </c>
      <c r="AN457" s="350"/>
    </row>
    <row r="458" spans="1:40" ht="135">
      <c r="A458" s="342"/>
      <c r="B458" s="420"/>
      <c r="C458" s="420"/>
      <c r="D458" s="420"/>
      <c r="E458" s="420"/>
      <c r="F458" s="420"/>
      <c r="G458" s="420"/>
      <c r="H458" s="420"/>
      <c r="I458" s="420"/>
      <c r="J458" s="420"/>
      <c r="K458" s="420"/>
      <c r="L458" s="420"/>
      <c r="M458" s="420"/>
      <c r="N458" s="420"/>
      <c r="O458" s="420"/>
      <c r="P458" s="241">
        <v>2</v>
      </c>
      <c r="Q458" s="242" t="s">
        <v>1097</v>
      </c>
      <c r="R458" s="241" t="str">
        <f t="shared" si="154"/>
        <v>Probabilidad</v>
      </c>
      <c r="S458" s="243" t="s">
        <v>14</v>
      </c>
      <c r="T458" s="243" t="s">
        <v>9</v>
      </c>
      <c r="U458" s="244" t="str">
        <f t="shared" si="155"/>
        <v>40%</v>
      </c>
      <c r="V458" s="243" t="s">
        <v>20</v>
      </c>
      <c r="W458" s="243" t="s">
        <v>23</v>
      </c>
      <c r="X458" s="243" t="s">
        <v>111</v>
      </c>
      <c r="Y458" s="245">
        <f>IFERROR(IF(AND(R457="Probabilidad",R458="Probabilidad"),(AA457-(+AA457*U458)),IF(R458="Probabilidad",(J457-(+J457*U458)),IF(R458="Impacto",AA457,""))),"")</f>
        <v>0.252</v>
      </c>
      <c r="Z458" s="246" t="str">
        <f t="shared" si="156"/>
        <v>Baja</v>
      </c>
      <c r="AA458" s="247">
        <f t="shared" si="157"/>
        <v>0.252</v>
      </c>
      <c r="AB458" s="246" t="str">
        <f t="shared" si="158"/>
        <v>Moderado</v>
      </c>
      <c r="AC458" s="247">
        <f>IFERROR(IF(AND(R457="Impacto",R458="Impacto"),(AC457-(+AC457*U458)),IF(R458="Impacto",(N457-(+N457*U458)),IF(R458="Probabilidad",AC457,""))),"")</f>
        <v>0.6</v>
      </c>
      <c r="AD458" s="248" t="str">
        <f t="shared" si="159"/>
        <v>Moderado</v>
      </c>
      <c r="AE458" s="249" t="s">
        <v>257</v>
      </c>
      <c r="AF458" s="250" t="s">
        <v>1098</v>
      </c>
      <c r="AG458" s="251" t="s">
        <v>1093</v>
      </c>
      <c r="AH458" s="251" t="s">
        <v>804</v>
      </c>
      <c r="AI458" s="251" t="s">
        <v>1094</v>
      </c>
      <c r="AJ458" s="251" t="s">
        <v>1095</v>
      </c>
      <c r="AK458" s="252">
        <v>44567</v>
      </c>
      <c r="AL458" s="251" t="s">
        <v>1096</v>
      </c>
      <c r="AM458" s="351"/>
      <c r="AN458" s="351"/>
    </row>
    <row r="459" spans="1:40">
      <c r="A459" s="342"/>
      <c r="B459" s="420"/>
      <c r="C459" s="420"/>
      <c r="D459" s="420"/>
      <c r="E459" s="420"/>
      <c r="F459" s="420"/>
      <c r="G459" s="420"/>
      <c r="H459" s="420"/>
      <c r="I459" s="420"/>
      <c r="J459" s="420"/>
      <c r="K459" s="420"/>
      <c r="L459" s="420"/>
      <c r="M459" s="420"/>
      <c r="N459" s="420"/>
      <c r="O459" s="420"/>
      <c r="P459" s="241">
        <v>3</v>
      </c>
      <c r="Q459" s="253"/>
      <c r="R459" s="241" t="str">
        <f t="shared" si="154"/>
        <v/>
      </c>
      <c r="S459" s="243"/>
      <c r="T459" s="243"/>
      <c r="U459" s="244" t="str">
        <f t="shared" si="155"/>
        <v/>
      </c>
      <c r="V459" s="243"/>
      <c r="W459" s="243"/>
      <c r="X459" s="243"/>
      <c r="Y459" s="245" t="str">
        <f t="shared" ref="Y459:Y462" si="162">IFERROR(IF(AND(R458="Probabilidad",R459="Probabilidad"),(AA458-(+AA458*U459)),IF(AND(R458="Impacto",R459="Probabilidad"),(AA457-(+AA457*U459)),IF(R459="Impacto",AA458,""))),"")</f>
        <v/>
      </c>
      <c r="Z459" s="246" t="str">
        <f t="shared" si="156"/>
        <v/>
      </c>
      <c r="AA459" s="247" t="str">
        <f t="shared" si="157"/>
        <v/>
      </c>
      <c r="AB459" s="246" t="str">
        <f t="shared" si="158"/>
        <v/>
      </c>
      <c r="AC459" s="247" t="str">
        <f t="shared" ref="AC459:AC462" si="163">IFERROR(IF(AND(R458="Impacto",R459="Impacto"),(AC458-(+AC458*U459)),IF(AND(R458="Probabilidad",R459="Impacto"),(AC457-(+AC457*U459)),IF(R459="Probabilidad",AC458,""))),"")</f>
        <v/>
      </c>
      <c r="AD459" s="248" t="str">
        <f t="shared" si="159"/>
        <v/>
      </c>
      <c r="AE459" s="249"/>
      <c r="AF459" s="254"/>
      <c r="AG459" s="255"/>
      <c r="AH459" s="255"/>
      <c r="AI459" s="255"/>
      <c r="AJ459" s="255"/>
      <c r="AK459" s="256"/>
      <c r="AL459" s="256"/>
      <c r="AM459" s="351"/>
      <c r="AN459" s="351"/>
    </row>
    <row r="460" spans="1:40">
      <c r="A460" s="342"/>
      <c r="B460" s="420"/>
      <c r="C460" s="420"/>
      <c r="D460" s="420"/>
      <c r="E460" s="420"/>
      <c r="F460" s="420"/>
      <c r="G460" s="420"/>
      <c r="H460" s="420"/>
      <c r="I460" s="420"/>
      <c r="J460" s="420"/>
      <c r="K460" s="420"/>
      <c r="L460" s="420"/>
      <c r="M460" s="420"/>
      <c r="N460" s="420"/>
      <c r="O460" s="420"/>
      <c r="P460" s="241">
        <v>4</v>
      </c>
      <c r="Q460" s="257"/>
      <c r="R460" s="241" t="str">
        <f t="shared" si="154"/>
        <v/>
      </c>
      <c r="S460" s="243"/>
      <c r="T460" s="243"/>
      <c r="U460" s="244" t="str">
        <f t="shared" si="155"/>
        <v/>
      </c>
      <c r="V460" s="243"/>
      <c r="W460" s="243"/>
      <c r="X460" s="243"/>
      <c r="Y460" s="245" t="str">
        <f t="shared" si="162"/>
        <v/>
      </c>
      <c r="Z460" s="246" t="str">
        <f t="shared" si="156"/>
        <v/>
      </c>
      <c r="AA460" s="247" t="str">
        <f t="shared" si="157"/>
        <v/>
      </c>
      <c r="AB460" s="246" t="str">
        <f t="shared" si="158"/>
        <v/>
      </c>
      <c r="AC460" s="247" t="str">
        <f t="shared" si="163"/>
        <v/>
      </c>
      <c r="AD460" s="248" t="str">
        <f t="shared" si="159"/>
        <v/>
      </c>
      <c r="AE460" s="249"/>
      <c r="AF460" s="254"/>
      <c r="AG460" s="255"/>
      <c r="AH460" s="255"/>
      <c r="AI460" s="255"/>
      <c r="AJ460" s="255"/>
      <c r="AK460" s="256"/>
      <c r="AL460" s="256"/>
      <c r="AM460" s="351"/>
      <c r="AN460" s="351"/>
    </row>
    <row r="461" spans="1:40">
      <c r="A461" s="342"/>
      <c r="B461" s="420"/>
      <c r="C461" s="420"/>
      <c r="D461" s="420"/>
      <c r="E461" s="420"/>
      <c r="F461" s="420"/>
      <c r="G461" s="420"/>
      <c r="H461" s="420"/>
      <c r="I461" s="420"/>
      <c r="J461" s="420"/>
      <c r="K461" s="420"/>
      <c r="L461" s="420"/>
      <c r="M461" s="420"/>
      <c r="N461" s="420"/>
      <c r="O461" s="420"/>
      <c r="P461" s="241">
        <v>5</v>
      </c>
      <c r="Q461" s="257"/>
      <c r="R461" s="241" t="str">
        <f t="shared" si="154"/>
        <v/>
      </c>
      <c r="S461" s="243"/>
      <c r="T461" s="243"/>
      <c r="U461" s="244" t="str">
        <f t="shared" si="155"/>
        <v/>
      </c>
      <c r="V461" s="243"/>
      <c r="W461" s="243"/>
      <c r="X461" s="243"/>
      <c r="Y461" s="245" t="str">
        <f t="shared" si="162"/>
        <v/>
      </c>
      <c r="Z461" s="246" t="str">
        <f t="shared" si="156"/>
        <v/>
      </c>
      <c r="AA461" s="247" t="str">
        <f t="shared" si="157"/>
        <v/>
      </c>
      <c r="AB461" s="246" t="str">
        <f t="shared" si="158"/>
        <v/>
      </c>
      <c r="AC461" s="247" t="str">
        <f t="shared" si="163"/>
        <v/>
      </c>
      <c r="AD461" s="248" t="str">
        <f t="shared" si="159"/>
        <v/>
      </c>
      <c r="AE461" s="249"/>
      <c r="AF461" s="254"/>
      <c r="AG461" s="255"/>
      <c r="AH461" s="255"/>
      <c r="AI461" s="255"/>
      <c r="AJ461" s="255"/>
      <c r="AK461" s="256"/>
      <c r="AL461" s="256"/>
      <c r="AM461" s="351"/>
      <c r="AN461" s="351"/>
    </row>
    <row r="462" spans="1:40">
      <c r="A462" s="343"/>
      <c r="B462" s="421"/>
      <c r="C462" s="421"/>
      <c r="D462" s="421"/>
      <c r="E462" s="421"/>
      <c r="F462" s="421"/>
      <c r="G462" s="421"/>
      <c r="H462" s="421"/>
      <c r="I462" s="421"/>
      <c r="J462" s="421"/>
      <c r="K462" s="421"/>
      <c r="L462" s="421"/>
      <c r="M462" s="421"/>
      <c r="N462" s="421"/>
      <c r="O462" s="421"/>
      <c r="P462" s="241">
        <v>6</v>
      </c>
      <c r="Q462" s="257"/>
      <c r="R462" s="241" t="str">
        <f t="shared" si="154"/>
        <v/>
      </c>
      <c r="S462" s="243"/>
      <c r="T462" s="243"/>
      <c r="U462" s="244" t="str">
        <f t="shared" si="155"/>
        <v/>
      </c>
      <c r="V462" s="243"/>
      <c r="W462" s="243"/>
      <c r="X462" s="243"/>
      <c r="Y462" s="245" t="str">
        <f t="shared" si="162"/>
        <v/>
      </c>
      <c r="Z462" s="246" t="str">
        <f t="shared" si="156"/>
        <v/>
      </c>
      <c r="AA462" s="247" t="str">
        <f t="shared" si="157"/>
        <v/>
      </c>
      <c r="AB462" s="246" t="str">
        <f t="shared" si="158"/>
        <v/>
      </c>
      <c r="AC462" s="247" t="str">
        <f t="shared" si="163"/>
        <v/>
      </c>
      <c r="AD462" s="248" t="str">
        <f t="shared" si="159"/>
        <v/>
      </c>
      <c r="AE462" s="249"/>
      <c r="AF462" s="254"/>
      <c r="AG462" s="255"/>
      <c r="AH462" s="255"/>
      <c r="AI462" s="255"/>
      <c r="AJ462" s="255"/>
      <c r="AK462" s="256"/>
      <c r="AL462" s="256"/>
      <c r="AM462" s="352"/>
      <c r="AN462" s="352"/>
    </row>
    <row r="463" spans="1:40" ht="67.5">
      <c r="A463" s="341">
        <v>76</v>
      </c>
      <c r="B463" s="344" t="s">
        <v>212</v>
      </c>
      <c r="C463" s="344" t="s">
        <v>125</v>
      </c>
      <c r="D463" s="344" t="s">
        <v>1120</v>
      </c>
      <c r="E463" s="344" t="s">
        <v>1121</v>
      </c>
      <c r="F463" s="347" t="s">
        <v>1122</v>
      </c>
      <c r="G463" s="344" t="s">
        <v>115</v>
      </c>
      <c r="H463" s="350">
        <v>12</v>
      </c>
      <c r="I463" s="353" t="s">
        <v>49</v>
      </c>
      <c r="J463" s="356">
        <v>0.4</v>
      </c>
      <c r="K463" s="359" t="s">
        <v>138</v>
      </c>
      <c r="L463" s="356" t="s">
        <v>138</v>
      </c>
      <c r="M463" s="353" t="s">
        <v>7</v>
      </c>
      <c r="N463" s="356">
        <v>0.8</v>
      </c>
      <c r="O463" s="362" t="s">
        <v>76</v>
      </c>
      <c r="P463" s="226">
        <v>1</v>
      </c>
      <c r="Q463" s="224" t="s">
        <v>1123</v>
      </c>
      <c r="R463" s="227" t="s">
        <v>4</v>
      </c>
      <c r="S463" s="228" t="s">
        <v>14</v>
      </c>
      <c r="T463" s="228" t="s">
        <v>9</v>
      </c>
      <c r="U463" s="229" t="s">
        <v>346</v>
      </c>
      <c r="V463" s="228" t="s">
        <v>19</v>
      </c>
      <c r="W463" s="228" t="s">
        <v>22</v>
      </c>
      <c r="X463" s="228" t="s">
        <v>111</v>
      </c>
      <c r="Y463" s="230">
        <f>IFERROR(IF(R463="Probabilidad",(J463-(+J463*U463)),IF(R463="Impacto",J463,"")),"")</f>
        <v>0.24</v>
      </c>
      <c r="Z463" s="231" t="s">
        <v>49</v>
      </c>
      <c r="AA463" s="232">
        <v>0.24</v>
      </c>
      <c r="AB463" s="231" t="s">
        <v>7</v>
      </c>
      <c r="AC463" s="232">
        <v>0.8</v>
      </c>
      <c r="AD463" s="233" t="s">
        <v>76</v>
      </c>
      <c r="AE463" s="234" t="s">
        <v>257</v>
      </c>
      <c r="AF463" s="235" t="s">
        <v>1124</v>
      </c>
      <c r="AG463" s="236" t="s">
        <v>1125</v>
      </c>
      <c r="AH463" s="236" t="s">
        <v>1126</v>
      </c>
      <c r="AI463" s="236" t="s">
        <v>1127</v>
      </c>
      <c r="AJ463" s="236" t="s">
        <v>1128</v>
      </c>
      <c r="AK463" s="237" t="s">
        <v>1129</v>
      </c>
      <c r="AL463" s="237">
        <v>44926</v>
      </c>
      <c r="AM463" s="350">
        <v>4072</v>
      </c>
      <c r="AN463" s="350"/>
    </row>
    <row r="464" spans="1:40" ht="54">
      <c r="A464" s="342"/>
      <c r="B464" s="345"/>
      <c r="C464" s="345"/>
      <c r="D464" s="345"/>
      <c r="E464" s="345"/>
      <c r="F464" s="348"/>
      <c r="G464" s="345"/>
      <c r="H464" s="351"/>
      <c r="I464" s="354"/>
      <c r="J464" s="357"/>
      <c r="K464" s="360"/>
      <c r="L464" s="357">
        <v>0</v>
      </c>
      <c r="M464" s="354"/>
      <c r="N464" s="357"/>
      <c r="O464" s="363"/>
      <c r="P464" s="226">
        <v>2</v>
      </c>
      <c r="Q464" s="224" t="s">
        <v>1130</v>
      </c>
      <c r="R464" s="227" t="s">
        <v>2</v>
      </c>
      <c r="S464" s="228" t="s">
        <v>16</v>
      </c>
      <c r="T464" s="228" t="s">
        <v>9</v>
      </c>
      <c r="U464" s="229" t="s">
        <v>359</v>
      </c>
      <c r="V464" s="228" t="s">
        <v>19</v>
      </c>
      <c r="W464" s="228" t="s">
        <v>22</v>
      </c>
      <c r="X464" s="228" t="s">
        <v>111</v>
      </c>
      <c r="Y464" s="230">
        <f>IFERROR(IF(AND(R463="Probabilidad",R464="Probabilidad"),(AA463-(+AA463*U464)),IF(R464="Probabilidad",(J463-(+J463*U464)),IF(R464="Impacto",AA463,""))),"")</f>
        <v>0.24</v>
      </c>
      <c r="Z464" s="231" t="s">
        <v>49</v>
      </c>
      <c r="AA464" s="232">
        <v>0.24</v>
      </c>
      <c r="AB464" s="231" t="s">
        <v>77</v>
      </c>
      <c r="AC464" s="232">
        <v>0.60000000000000009</v>
      </c>
      <c r="AD464" s="233" t="s">
        <v>77</v>
      </c>
      <c r="AE464" s="234" t="s">
        <v>257</v>
      </c>
      <c r="AF464" s="235" t="s">
        <v>1131</v>
      </c>
      <c r="AG464" s="236" t="s">
        <v>1132</v>
      </c>
      <c r="AH464" s="236" t="s">
        <v>1133</v>
      </c>
      <c r="AI464" s="236" t="s">
        <v>1134</v>
      </c>
      <c r="AJ464" s="236" t="s">
        <v>1128</v>
      </c>
      <c r="AK464" s="237" t="s">
        <v>1129</v>
      </c>
      <c r="AL464" s="237">
        <v>44926</v>
      </c>
      <c r="AM464" s="351"/>
      <c r="AN464" s="351"/>
    </row>
    <row r="465" spans="1:40" ht="54">
      <c r="A465" s="342"/>
      <c r="B465" s="345"/>
      <c r="C465" s="345"/>
      <c r="D465" s="345"/>
      <c r="E465" s="345"/>
      <c r="F465" s="348"/>
      <c r="G465" s="345"/>
      <c r="H465" s="351"/>
      <c r="I465" s="354"/>
      <c r="J465" s="357"/>
      <c r="K465" s="360"/>
      <c r="L465" s="357">
        <v>0</v>
      </c>
      <c r="M465" s="354"/>
      <c r="N465" s="357"/>
      <c r="O465" s="363"/>
      <c r="P465" s="226">
        <v>3</v>
      </c>
      <c r="Q465" s="224" t="s">
        <v>1135</v>
      </c>
      <c r="R465" s="227" t="s">
        <v>2</v>
      </c>
      <c r="S465" s="228" t="s">
        <v>16</v>
      </c>
      <c r="T465" s="228" t="s">
        <v>9</v>
      </c>
      <c r="U465" s="229" t="s">
        <v>359</v>
      </c>
      <c r="V465" s="228" t="s">
        <v>19</v>
      </c>
      <c r="W465" s="228" t="s">
        <v>22</v>
      </c>
      <c r="X465" s="228" t="s">
        <v>111</v>
      </c>
      <c r="Y465" s="230">
        <f>IFERROR(IF(AND(R464="Probabilidad",R465="Probabilidad"),(AA464-(+AA464*U465)),IF(AND(R464="Impacto",R465="Probabilidad"),(AA463-(+AA463*U465)),IF(R465="Impacto",AA464,""))),"")</f>
        <v>0.24</v>
      </c>
      <c r="Z465" s="231" t="s">
        <v>49</v>
      </c>
      <c r="AA465" s="232">
        <v>0.24</v>
      </c>
      <c r="AB465" s="231" t="s">
        <v>77</v>
      </c>
      <c r="AC465" s="232">
        <v>0.45000000000000007</v>
      </c>
      <c r="AD465" s="233" t="s">
        <v>77</v>
      </c>
      <c r="AE465" s="234" t="s">
        <v>257</v>
      </c>
      <c r="AF465" s="235" t="s">
        <v>1136</v>
      </c>
      <c r="AG465" s="171" t="s">
        <v>1132</v>
      </c>
      <c r="AH465" s="236" t="s">
        <v>1133</v>
      </c>
      <c r="AI465" s="236" t="s">
        <v>1134</v>
      </c>
      <c r="AJ465" s="236" t="s">
        <v>1128</v>
      </c>
      <c r="AK465" s="237" t="s">
        <v>1129</v>
      </c>
      <c r="AL465" s="237">
        <v>44926</v>
      </c>
      <c r="AM465" s="351"/>
      <c r="AN465" s="351"/>
    </row>
    <row r="466" spans="1:40" ht="54">
      <c r="A466" s="342"/>
      <c r="B466" s="345"/>
      <c r="C466" s="345"/>
      <c r="D466" s="345"/>
      <c r="E466" s="345"/>
      <c r="F466" s="348"/>
      <c r="G466" s="345"/>
      <c r="H466" s="351"/>
      <c r="I466" s="354"/>
      <c r="J466" s="357"/>
      <c r="K466" s="360"/>
      <c r="L466" s="357">
        <v>0</v>
      </c>
      <c r="M466" s="354"/>
      <c r="N466" s="357"/>
      <c r="O466" s="363"/>
      <c r="P466" s="226">
        <v>4</v>
      </c>
      <c r="Q466" s="224" t="s">
        <v>1137</v>
      </c>
      <c r="R466" s="227" t="s">
        <v>4</v>
      </c>
      <c r="S466" s="228" t="s">
        <v>14</v>
      </c>
      <c r="T466" s="228" t="s">
        <v>9</v>
      </c>
      <c r="U466" s="229" t="s">
        <v>346</v>
      </c>
      <c r="V466" s="228" t="s">
        <v>19</v>
      </c>
      <c r="W466" s="228" t="s">
        <v>22</v>
      </c>
      <c r="X466" s="228" t="s">
        <v>111</v>
      </c>
      <c r="Y466" s="230">
        <f>IFERROR(IF(AND(R465="Probabilidad",R466="Probabilidad"),(AA465-(+AA465*U466)),IF(AND(R465="Impacto",R466="Probabilidad"),(AA464-(+AA464*U466)),IF(R466="Impacto",AA465,""))),"")</f>
        <v>0.14399999999999999</v>
      </c>
      <c r="Z466" s="231" t="s">
        <v>47</v>
      </c>
      <c r="AA466" s="232">
        <v>0.14399999999999999</v>
      </c>
      <c r="AB466" s="231" t="s">
        <v>77</v>
      </c>
      <c r="AC466" s="232">
        <v>0.45000000000000007</v>
      </c>
      <c r="AD466" s="233" t="s">
        <v>77</v>
      </c>
      <c r="AE466" s="234" t="s">
        <v>257</v>
      </c>
      <c r="AF466" s="235" t="s">
        <v>1138</v>
      </c>
      <c r="AG466" s="171" t="s">
        <v>1132</v>
      </c>
      <c r="AH466" s="236" t="s">
        <v>1133</v>
      </c>
      <c r="AI466" s="236" t="s">
        <v>1134</v>
      </c>
      <c r="AJ466" s="236" t="s">
        <v>1128</v>
      </c>
      <c r="AK466" s="237" t="s">
        <v>1129</v>
      </c>
      <c r="AL466" s="237">
        <v>44926</v>
      </c>
      <c r="AM466" s="351"/>
      <c r="AN466" s="351"/>
    </row>
    <row r="467" spans="1:40" ht="54">
      <c r="A467" s="342"/>
      <c r="B467" s="345"/>
      <c r="C467" s="345"/>
      <c r="D467" s="345"/>
      <c r="E467" s="345"/>
      <c r="F467" s="348"/>
      <c r="G467" s="345"/>
      <c r="H467" s="351"/>
      <c r="I467" s="354"/>
      <c r="J467" s="357"/>
      <c r="K467" s="360"/>
      <c r="L467" s="357"/>
      <c r="M467" s="354"/>
      <c r="N467" s="357"/>
      <c r="O467" s="363"/>
      <c r="P467" s="226">
        <v>5</v>
      </c>
      <c r="Q467" s="224" t="s">
        <v>1139</v>
      </c>
      <c r="R467" s="227" t="s">
        <v>2</v>
      </c>
      <c r="S467" s="228" t="s">
        <v>16</v>
      </c>
      <c r="T467" s="228" t="s">
        <v>9</v>
      </c>
      <c r="U467" s="229" t="s">
        <v>359</v>
      </c>
      <c r="V467" s="228" t="s">
        <v>19</v>
      </c>
      <c r="W467" s="228" t="s">
        <v>22</v>
      </c>
      <c r="X467" s="228" t="s">
        <v>111</v>
      </c>
      <c r="Y467" s="230">
        <f t="shared" ref="Y467:Y468" si="164">IFERROR(IF(AND(R466="Probabilidad",R467="Probabilidad"),(AA466-(+AA466*U467)),IF(AND(R466="Impacto",R467="Probabilidad"),(AA465-(+AA465*U467)),IF(R467="Impacto",AA466,""))),"")</f>
        <v>0.14399999999999999</v>
      </c>
      <c r="Z467" s="231" t="s">
        <v>47</v>
      </c>
      <c r="AA467" s="232">
        <v>0.14399999999999999</v>
      </c>
      <c r="AB467" s="231" t="s">
        <v>80</v>
      </c>
      <c r="AC467" s="232">
        <v>0.33750000000000002</v>
      </c>
      <c r="AD467" s="233" t="s">
        <v>78</v>
      </c>
      <c r="AE467" s="234" t="s">
        <v>31</v>
      </c>
      <c r="AF467" s="235" t="s">
        <v>1140</v>
      </c>
      <c r="AG467" s="171" t="s">
        <v>1132</v>
      </c>
      <c r="AH467" s="236" t="s">
        <v>1133</v>
      </c>
      <c r="AI467" s="236" t="s">
        <v>1134</v>
      </c>
      <c r="AJ467" s="236" t="s">
        <v>1128</v>
      </c>
      <c r="AK467" s="237" t="s">
        <v>1141</v>
      </c>
      <c r="AL467" s="237">
        <v>44926</v>
      </c>
      <c r="AM467" s="351"/>
      <c r="AN467" s="351"/>
    </row>
    <row r="468" spans="1:40">
      <c r="A468" s="343"/>
      <c r="B468" s="345"/>
      <c r="C468" s="345"/>
      <c r="D468" s="345"/>
      <c r="E468" s="345"/>
      <c r="F468" s="348"/>
      <c r="G468" s="345"/>
      <c r="H468" s="351"/>
      <c r="I468" s="354"/>
      <c r="J468" s="357"/>
      <c r="K468" s="360"/>
      <c r="L468" s="357"/>
      <c r="M468" s="354"/>
      <c r="N468" s="357"/>
      <c r="O468" s="363"/>
      <c r="P468" s="226">
        <v>6</v>
      </c>
      <c r="Q468" s="238"/>
      <c r="R468" s="227" t="s">
        <v>361</v>
      </c>
      <c r="S468" s="228"/>
      <c r="T468" s="228"/>
      <c r="U468" s="229" t="s">
        <v>361</v>
      </c>
      <c r="V468" s="228"/>
      <c r="W468" s="228"/>
      <c r="X468" s="228"/>
      <c r="Y468" s="230" t="str">
        <f t="shared" si="164"/>
        <v/>
      </c>
      <c r="Z468" s="231" t="s">
        <v>361</v>
      </c>
      <c r="AA468" s="232" t="s">
        <v>361</v>
      </c>
      <c r="AB468" s="231" t="s">
        <v>361</v>
      </c>
      <c r="AC468" s="232" t="s">
        <v>361</v>
      </c>
      <c r="AD468" s="233" t="s">
        <v>361</v>
      </c>
      <c r="AE468" s="234"/>
      <c r="AF468" s="235"/>
      <c r="AG468" s="236"/>
      <c r="AH468" s="236"/>
      <c r="AI468" s="236"/>
      <c r="AJ468" s="237"/>
      <c r="AK468" s="237"/>
      <c r="AL468" s="237"/>
      <c r="AM468" s="351"/>
      <c r="AN468" s="351"/>
    </row>
    <row r="469" spans="1:40" ht="81">
      <c r="A469" s="342">
        <v>77</v>
      </c>
      <c r="B469" s="344" t="s">
        <v>212</v>
      </c>
      <c r="C469" s="344" t="s">
        <v>125</v>
      </c>
      <c r="D469" s="344" t="s">
        <v>1142</v>
      </c>
      <c r="E469" s="344" t="s">
        <v>1143</v>
      </c>
      <c r="F469" s="347" t="s">
        <v>1144</v>
      </c>
      <c r="G469" s="344" t="s">
        <v>120</v>
      </c>
      <c r="H469" s="350">
        <v>21214</v>
      </c>
      <c r="I469" s="353" t="str">
        <f>IF(H469&lt;=0,"",IF(H469&lt;=2,"Muy Baja",IF(H469&lt;=24,"Baja",IF(H469&lt;=500,"Media",IF(H469&lt;=5000,"Alta","Muy Alta")))))</f>
        <v>Muy Alta</v>
      </c>
      <c r="J469" s="356">
        <f>IF(I469="","",IF(I469="Muy Baja",0.2,IF(I469="Baja",0.4,IF(I469="Media",0.6,IF(I469="Alta",0.8,IF(I469="Muy Alta",1,))))))</f>
        <v>1</v>
      </c>
      <c r="K469" s="359" t="s">
        <v>143</v>
      </c>
      <c r="L469" s="356" t="str">
        <f>IF(NOT(ISERROR(MATCH(K469,'[9]Tabla Impacto'!$B$221:$B$223,0))),'[9]Tabla Impacto'!$F$223&amp;"Por favor no seleccionar los criterios de impacto(Afectación Económica o presupuestal y Pérdida Reputacional)",K469)</f>
        <v xml:space="preserve">     El riesgo afecta la imagen de de la entidad con efecto publicitario sostenido a nivel de sector administrativo, nivel departamental o municipal</v>
      </c>
      <c r="M469" s="353" t="str">
        <f>IF(OR(L469='[9]Tabla Impacto'!$C$11,L469='[9]Tabla Impacto'!$D$11),"Leve",IF(OR(L469='[9]Tabla Impacto'!$C$12,L469='[9]Tabla Impacto'!$D$12),"Menor",IF(OR(L469='[9]Tabla Impacto'!$C$13,L469='[9]Tabla Impacto'!$D$13),"Moderado",IF(OR(L469='[9]Tabla Impacto'!$C$14,L469='[9]Tabla Impacto'!$D$14),"Mayor",IF(OR(L469='[9]Tabla Impacto'!$C$15,L469='[9]Tabla Impacto'!$D$15),"Catastrófico","")))))</f>
        <v>Mayor</v>
      </c>
      <c r="N469" s="356">
        <f>IF(M469="","",IF(M469="Leve",0.2,IF(M469="Menor",0.4,IF(M469="Moderado",0.6,IF(M469="Mayor",0.8,IF(M469="Catastrófico",1,))))))</f>
        <v>0.8</v>
      </c>
      <c r="O469" s="362" t="str">
        <f>IF(OR(AND(I469="Muy Baja",M469="Leve"),AND(I469="Muy Baja",M469="Menor"),AND(I469="Baja",M469="Leve")),"Bajo",IF(OR(AND(I469="Muy baja",M469="Moderado"),AND(I469="Baja",M469="Menor"),AND(I469="Baja",M469="Moderado"),AND(I469="Media",M469="Leve"),AND(I469="Media",M469="Menor"),AND(I469="Media",M469="Moderado"),AND(I469="Alta",M469="Leve"),AND(I469="Alta",M469="Menor")),"Moderado",IF(OR(AND(I469="Muy Baja",M469="Mayor"),AND(I469="Baja",M469="Mayor"),AND(I469="Media",M469="Mayor"),AND(I469="Alta",M469="Moderado"),AND(I469="Alta",M469="Mayor"),AND(I469="Muy Alta",M469="Leve"),AND(I469="Muy Alta",M469="Menor"),AND(I469="Muy Alta",M469="Moderado"),AND(I469="Muy Alta",M469="Mayor")),"Alto",IF(OR(AND(I469="Muy Baja",M469="Catastrófico"),AND(I469="Baja",M469="Catastrófico"),AND(I469="Media",M469="Catastrófico"),AND(I469="Alta",M469="Catastrófico"),AND(I469="Muy Alta",M469="Catastrófico")),"Extremo",""))))</f>
        <v>Alto</v>
      </c>
      <c r="P469" s="226">
        <v>1</v>
      </c>
      <c r="Q469" s="224" t="s">
        <v>1145</v>
      </c>
      <c r="R469" s="227" t="str">
        <f t="shared" ref="R469:R531" si="165">IF(OR(S469="Preventivo",S469="Detectivo"),"Probabilidad",IF(S469="Correctivo","Impacto",""))</f>
        <v>Probabilidad</v>
      </c>
      <c r="S469" s="228" t="s">
        <v>14</v>
      </c>
      <c r="T469" s="228" t="s">
        <v>9</v>
      </c>
      <c r="U469" s="229" t="str">
        <f>IF(AND(S469="Preventivo",T469="Automático"),"50%",IF(AND(S469="Preventivo",T469="Manual"),"40%",IF(AND(S469="Detectivo",T469="Automático"),"40%",IF(AND(S469="Detectivo",T469="Manual"),"30%",IF(AND(S469="Correctivo",T469="Automático"),"35%",IF(AND(S469="Correctivo",T469="Manual"),"25%",""))))))</f>
        <v>40%</v>
      </c>
      <c r="V469" s="228" t="s">
        <v>19</v>
      </c>
      <c r="W469" s="228" t="s">
        <v>22</v>
      </c>
      <c r="X469" s="228" t="s">
        <v>111</v>
      </c>
      <c r="Y469" s="230">
        <f>IFERROR(IF(R469="Probabilidad",(J469-(+J469*U469)),IF(R469="Impacto",J469,"")),"")</f>
        <v>0.6</v>
      </c>
      <c r="Z469" s="231" t="str">
        <f>IFERROR(IF(Y469="","",IF(Y469&lt;=0.2,"Muy Baja",IF(Y469&lt;=0.4,"Baja",IF(Y469&lt;=0.6,"Media",IF(Y469&lt;=0.8,"Alta","Muy Alta"))))),"")</f>
        <v>Media</v>
      </c>
      <c r="AA469" s="232">
        <f>+Y469</f>
        <v>0.6</v>
      </c>
      <c r="AB469" s="231" t="str">
        <f>IFERROR(IF(AC469="","",IF(AC469&lt;=0.2,"Leve",IF(AC469&lt;=0.4,"Menor",IF(AC469&lt;=0.6,"Moderado",IF(AC469&lt;=0.8,"Mayor","Catastrófico"))))),"")</f>
        <v>Mayor</v>
      </c>
      <c r="AC469" s="232">
        <f>IFERROR(IF(R469="Impacto",(N469-(+N469*U469)),IF(R469="Probabilidad",N469,"")),"")</f>
        <v>0.8</v>
      </c>
      <c r="AD469" s="233" t="str">
        <f>IFERROR(IF(OR(AND(Z469="Muy Baja",AB469="Leve"),AND(Z469="Muy Baja",AB469="Menor"),AND(Z469="Baja",AB469="Leve")),"Bajo",IF(OR(AND(Z469="Muy baja",AB469="Moderado"),AND(Z469="Baja",AB469="Menor"),AND(Z469="Baja",AB469="Moderado"),AND(Z469="Media",AB469="Leve"),AND(Z469="Media",AB469="Menor"),AND(Z469="Media",AB469="Moderado"),AND(Z469="Alta",AB469="Leve"),AND(Z469="Alta",AB469="Menor")),"Moderado",IF(OR(AND(Z469="Muy Baja",AB469="Mayor"),AND(Z469="Baja",AB469="Mayor"),AND(Z469="Media",AB469="Mayor"),AND(Z469="Alta",AB469="Moderado"),AND(Z469="Alta",AB469="Mayor"),AND(Z469="Muy Alta",AB469="Leve"),AND(Z469="Muy Alta",AB469="Menor"),AND(Z469="Muy Alta",AB469="Moderado"),AND(Z469="Muy Alta",AB469="Mayor")),"Alto",IF(OR(AND(Z469="Muy Baja",AB469="Catastrófico"),AND(Z469="Baja",AB469="Catastrófico"),AND(Z469="Media",AB469="Catastrófico"),AND(Z469="Alta",AB469="Catastrófico"),AND(Z469="Muy Alta",AB469="Catastrófico")),"Extremo","")))),"")</f>
        <v>Alto</v>
      </c>
      <c r="AE469" s="234" t="s">
        <v>257</v>
      </c>
      <c r="AF469" s="235" t="s">
        <v>1146</v>
      </c>
      <c r="AG469" s="236" t="s">
        <v>1147</v>
      </c>
      <c r="AH469" s="236" t="s">
        <v>1126</v>
      </c>
      <c r="AI469" s="236" t="s">
        <v>1148</v>
      </c>
      <c r="AJ469" s="237" t="s">
        <v>1149</v>
      </c>
      <c r="AK469" s="237" t="s">
        <v>1150</v>
      </c>
      <c r="AL469" s="237">
        <v>44926</v>
      </c>
      <c r="AM469" s="350">
        <v>4086</v>
      </c>
      <c r="AN469" s="350"/>
    </row>
    <row r="470" spans="1:40" ht="67.5">
      <c r="A470" s="342"/>
      <c r="B470" s="345"/>
      <c r="C470" s="345"/>
      <c r="D470" s="345"/>
      <c r="E470" s="345"/>
      <c r="F470" s="348"/>
      <c r="G470" s="345"/>
      <c r="H470" s="351"/>
      <c r="I470" s="354"/>
      <c r="J470" s="357"/>
      <c r="K470" s="360"/>
      <c r="L470" s="357">
        <f ca="1">IF(NOT(ISERROR(MATCH(K470,_xlfn.ANCHORARRAY(F483),0))),J485&amp;"Por favor no seleccionar los criterios de impacto",K470)</f>
        <v>0</v>
      </c>
      <c r="M470" s="354"/>
      <c r="N470" s="357"/>
      <c r="O470" s="363"/>
      <c r="P470" s="226">
        <v>2</v>
      </c>
      <c r="Q470" s="224" t="s">
        <v>1151</v>
      </c>
      <c r="R470" s="227" t="str">
        <f t="shared" si="165"/>
        <v>Impacto</v>
      </c>
      <c r="S470" s="228" t="s">
        <v>16</v>
      </c>
      <c r="T470" s="228" t="s">
        <v>9</v>
      </c>
      <c r="U470" s="229" t="str">
        <f t="shared" ref="U470:U482" si="166">IF(AND(S470="Preventivo",T470="Automático"),"50%",IF(AND(S470="Preventivo",T470="Manual"),"40%",IF(AND(S470="Detectivo",T470="Automático"),"40%",IF(AND(S470="Detectivo",T470="Manual"),"30%",IF(AND(S470="Correctivo",T470="Automático"),"35%",IF(AND(S470="Correctivo",T470="Manual"),"25%",""))))))</f>
        <v>25%</v>
      </c>
      <c r="V470" s="228" t="s">
        <v>19</v>
      </c>
      <c r="W470" s="228" t="s">
        <v>22</v>
      </c>
      <c r="X470" s="228" t="s">
        <v>111</v>
      </c>
      <c r="Y470" s="230">
        <f>IFERROR(IF(AND(R469="Probabilidad",R470="Probabilidad"),(AA469-(+AA469*U470)),IF(R470="Probabilidad",(J469-(+J469*U470)),IF(R470="Impacto",AA469,""))),"")</f>
        <v>0.6</v>
      </c>
      <c r="Z470" s="231" t="str">
        <f t="shared" ref="Z470:Z482" si="167">IFERROR(IF(Y470="","",IF(Y470&lt;=0.2,"Muy Baja",IF(Y470&lt;=0.4,"Baja",IF(Y470&lt;=0.6,"Media",IF(Y470&lt;=0.8,"Alta","Muy Alta"))))),"")</f>
        <v>Media</v>
      </c>
      <c r="AA470" s="232">
        <f t="shared" ref="AA470:AA482" si="168">+Y470</f>
        <v>0.6</v>
      </c>
      <c r="AB470" s="231" t="str">
        <f t="shared" ref="AB470:AB482" si="169">IFERROR(IF(AC470="","",IF(AC470&lt;=0.2,"Leve",IF(AC470&lt;=0.4,"Menor",IF(AC470&lt;=0.6,"Moderado",IF(AC470&lt;=0.8,"Mayor","Catastrófico"))))),"")</f>
        <v>Moderado</v>
      </c>
      <c r="AC470" s="232">
        <f>IFERROR(IF(AND(R469="Impacto",R470="Impacto"),(AC469-(+AC469*U470)),IF(R470="Impacto",(N469-(+N469*U470)),IF(R470="Probabilidad",AC469,""))),"")</f>
        <v>0.60000000000000009</v>
      </c>
      <c r="AD470" s="233" t="str">
        <f t="shared" ref="AD470:AD471" si="170">IFERROR(IF(OR(AND(Z470="Muy Baja",AB470="Leve"),AND(Z470="Muy Baja",AB470="Menor"),AND(Z470="Baja",AB470="Leve")),"Bajo",IF(OR(AND(Z470="Muy baja",AB470="Moderado"),AND(Z470="Baja",AB470="Menor"),AND(Z470="Baja",AB470="Moderado"),AND(Z470="Media",AB470="Leve"),AND(Z470="Media",AB470="Menor"),AND(Z470="Media",AB470="Moderado"),AND(Z470="Alta",AB470="Leve"),AND(Z470="Alta",AB470="Menor")),"Moderado",IF(OR(AND(Z470="Muy Baja",AB470="Mayor"),AND(Z470="Baja",AB470="Mayor"),AND(Z470="Media",AB470="Mayor"),AND(Z470="Alta",AB470="Moderado"),AND(Z470="Alta",AB470="Mayor"),AND(Z470="Muy Alta",AB470="Leve"),AND(Z470="Muy Alta",AB470="Menor"),AND(Z470="Muy Alta",AB470="Moderado"),AND(Z470="Muy Alta",AB470="Mayor")),"Alto",IF(OR(AND(Z470="Muy Baja",AB470="Catastrófico"),AND(Z470="Baja",AB470="Catastrófico"),AND(Z470="Media",AB470="Catastrófico"),AND(Z470="Alta",AB470="Catastrófico"),AND(Z470="Muy Alta",AB470="Catastrófico")),"Extremo","")))),"")</f>
        <v>Moderado</v>
      </c>
      <c r="AE470" s="234" t="s">
        <v>257</v>
      </c>
      <c r="AF470" s="235" t="s">
        <v>1152</v>
      </c>
      <c r="AG470" s="236" t="s">
        <v>1153</v>
      </c>
      <c r="AH470" s="236" t="s">
        <v>311</v>
      </c>
      <c r="AI470" s="236" t="s">
        <v>1148</v>
      </c>
      <c r="AJ470" s="237" t="s">
        <v>1149</v>
      </c>
      <c r="AK470" s="237" t="s">
        <v>1150</v>
      </c>
      <c r="AL470" s="237">
        <v>44926</v>
      </c>
      <c r="AM470" s="351"/>
      <c r="AN470" s="351"/>
    </row>
    <row r="471" spans="1:40" ht="81">
      <c r="A471" s="342"/>
      <c r="B471" s="345"/>
      <c r="C471" s="345"/>
      <c r="D471" s="345"/>
      <c r="E471" s="345"/>
      <c r="F471" s="348"/>
      <c r="G471" s="345"/>
      <c r="H471" s="351"/>
      <c r="I471" s="354"/>
      <c r="J471" s="357"/>
      <c r="K471" s="360"/>
      <c r="L471" s="357">
        <f ca="1">IF(NOT(ISERROR(MATCH(K471,_xlfn.ANCHORARRAY(F484),0))),J486&amp;"Por favor no seleccionar los criterios de impacto",K471)</f>
        <v>0</v>
      </c>
      <c r="M471" s="354"/>
      <c r="N471" s="357"/>
      <c r="O471" s="363"/>
      <c r="P471" s="226">
        <v>3</v>
      </c>
      <c r="Q471" s="224" t="s">
        <v>1154</v>
      </c>
      <c r="R471" s="227" t="str">
        <f t="shared" si="165"/>
        <v>Probabilidad</v>
      </c>
      <c r="S471" s="228" t="s">
        <v>14</v>
      </c>
      <c r="T471" s="228" t="s">
        <v>9</v>
      </c>
      <c r="U471" s="229" t="str">
        <f t="shared" si="166"/>
        <v>40%</v>
      </c>
      <c r="V471" s="228" t="s">
        <v>19</v>
      </c>
      <c r="W471" s="228" t="s">
        <v>22</v>
      </c>
      <c r="X471" s="228" t="s">
        <v>111</v>
      </c>
      <c r="Y471" s="230">
        <f>IFERROR(IF(AND(R470="Probabilidad",R471="Probabilidad"),(AA470-(+AA470*U471)),IF(AND(R470="Impacto",R471="Probabilidad"),(AA469-(+AA469*U471)),IF(R471="Impacto",AA470,""))),"")</f>
        <v>0.36</v>
      </c>
      <c r="Z471" s="231" t="str">
        <f t="shared" si="167"/>
        <v>Baja</v>
      </c>
      <c r="AA471" s="232">
        <f t="shared" si="168"/>
        <v>0.36</v>
      </c>
      <c r="AB471" s="231" t="str">
        <f t="shared" si="169"/>
        <v>Moderado</v>
      </c>
      <c r="AC471" s="232">
        <f>IFERROR(IF(AND(R470="Impacto",R471="Impacto"),(AC470-(+AC470*U471)),IF(AND(R470="Probabilidad",R471="Impacto"),(AC469-(+AC469*U471)),IF(R471="Probabilidad",AC470,""))),"")</f>
        <v>0.60000000000000009</v>
      </c>
      <c r="AD471" s="233" t="str">
        <f t="shared" si="170"/>
        <v>Moderado</v>
      </c>
      <c r="AE471" s="234" t="s">
        <v>257</v>
      </c>
      <c r="AF471" s="235" t="s">
        <v>1155</v>
      </c>
      <c r="AG471" s="236" t="s">
        <v>1156</v>
      </c>
      <c r="AH471" s="236" t="s">
        <v>311</v>
      </c>
      <c r="AI471" s="236" t="s">
        <v>1148</v>
      </c>
      <c r="AJ471" s="237" t="s">
        <v>1149</v>
      </c>
      <c r="AK471" s="237" t="s">
        <v>1150</v>
      </c>
      <c r="AL471" s="237">
        <v>44926</v>
      </c>
      <c r="AM471" s="351"/>
      <c r="AN471" s="351"/>
    </row>
    <row r="472" spans="1:40" ht="81">
      <c r="A472" s="342"/>
      <c r="B472" s="345"/>
      <c r="C472" s="345"/>
      <c r="D472" s="345"/>
      <c r="E472" s="345"/>
      <c r="F472" s="348"/>
      <c r="G472" s="345"/>
      <c r="H472" s="351"/>
      <c r="I472" s="354"/>
      <c r="J472" s="357"/>
      <c r="K472" s="360"/>
      <c r="L472" s="357">
        <f ca="1">IF(NOT(ISERROR(MATCH(K472,_xlfn.ANCHORARRAY(F485),0))),J487&amp;"Por favor no seleccionar los criterios de impacto",K472)</f>
        <v>0</v>
      </c>
      <c r="M472" s="354"/>
      <c r="N472" s="357"/>
      <c r="O472" s="363"/>
      <c r="P472" s="226">
        <v>4</v>
      </c>
      <c r="Q472" s="224" t="s">
        <v>1157</v>
      </c>
      <c r="R472" s="227" t="str">
        <f t="shared" si="165"/>
        <v>Probabilidad</v>
      </c>
      <c r="S472" s="228" t="s">
        <v>14</v>
      </c>
      <c r="T472" s="228" t="s">
        <v>9</v>
      </c>
      <c r="U472" s="229" t="str">
        <f>IF(AND(S472="Preventivo",T472="Automático"),"50%",IF(AND(S472="Preventivo",T472="Manual"),"40%",IF(AND(S472="Detectivo",T472="Automático"),"40%",IF(AND(S472="Detectivo",T472="Manual"),"30%",IF(AND(S472="Correctivo",T472="Automático"),"35%",IF(AND(S472="Correctivo",T472="Manual"),"25%",""))))))</f>
        <v>40%</v>
      </c>
      <c r="V472" s="228" t="s">
        <v>19</v>
      </c>
      <c r="W472" s="228" t="s">
        <v>22</v>
      </c>
      <c r="X472" s="228" t="s">
        <v>111</v>
      </c>
      <c r="Y472" s="230">
        <f>IFERROR(IF(AND(R471="Probabilidad",R472="Probabilidad"),(AA471-(+AA471*U472)),IF(AND(R471="Impacto",R472="Probabilidad"),(AA470-(+AA470*U472)),IF(R472="Impacto",AA471,""))),"")</f>
        <v>0.216</v>
      </c>
      <c r="Z472" s="231" t="str">
        <f t="shared" si="167"/>
        <v>Baja</v>
      </c>
      <c r="AA472" s="232">
        <f t="shared" si="168"/>
        <v>0.216</v>
      </c>
      <c r="AB472" s="231" t="str">
        <f t="shared" si="169"/>
        <v>Moderado</v>
      </c>
      <c r="AC472" s="232">
        <f t="shared" ref="AC472:AC475" si="171">IFERROR(IF(AND(R471="Impacto",R472="Impacto"),(AC471-(+AC471*U472)),IF(AND(R471="Probabilidad",R472="Impacto"),(AC470-(+AC470*U472)),IF(R472="Probabilidad",AC471,""))),"")</f>
        <v>0.60000000000000009</v>
      </c>
      <c r="AD472" s="233" t="str">
        <f>IFERROR(IF(OR(AND(Z472="Muy Baja",AB472="Leve"),AND(Z472="Muy Baja",AB472="Menor"),AND(Z472="Baja",AB472="Leve")),"Bajo",IF(OR(AND(Z472="Muy baja",AB472="Moderado"),AND(Z472="Baja",AB472="Menor"),AND(Z472="Baja",AB472="Moderado"),AND(Z472="Media",AB472="Leve"),AND(Z472="Media",AB472="Menor"),AND(Z472="Media",AB472="Moderado"),AND(Z472="Alta",AB472="Leve"),AND(Z472="Alta",AB472="Menor")),"Moderado",IF(OR(AND(Z472="Muy Baja",AB472="Mayor"),AND(Z472="Baja",AB472="Mayor"),AND(Z472="Media",AB472="Mayor"),AND(Z472="Alta",AB472="Moderado"),AND(Z472="Alta",AB472="Mayor"),AND(Z472="Muy Alta",AB472="Leve"),AND(Z472="Muy Alta",AB472="Menor"),AND(Z472="Muy Alta",AB472="Moderado"),AND(Z472="Muy Alta",AB472="Mayor")),"Alto",IF(OR(AND(Z472="Muy Baja",AB472="Catastrófico"),AND(Z472="Baja",AB472="Catastrófico"),AND(Z472="Media",AB472="Catastrófico"),AND(Z472="Alta",AB472="Catastrófico"),AND(Z472="Muy Alta",AB472="Catastrófico")),"Extremo","")))),"")</f>
        <v>Moderado</v>
      </c>
      <c r="AE472" s="234" t="s">
        <v>257</v>
      </c>
      <c r="AF472" s="235" t="s">
        <v>1155</v>
      </c>
      <c r="AG472" s="236" t="s">
        <v>1156</v>
      </c>
      <c r="AH472" s="236" t="s">
        <v>311</v>
      </c>
      <c r="AI472" s="236" t="s">
        <v>1148</v>
      </c>
      <c r="AJ472" s="237" t="s">
        <v>1149</v>
      </c>
      <c r="AK472" s="237" t="s">
        <v>1150</v>
      </c>
      <c r="AL472" s="237">
        <v>44926</v>
      </c>
      <c r="AM472" s="351"/>
      <c r="AN472" s="351"/>
    </row>
    <row r="473" spans="1:40" ht="67.5">
      <c r="A473" s="342"/>
      <c r="B473" s="345"/>
      <c r="C473" s="345"/>
      <c r="D473" s="345"/>
      <c r="E473" s="345"/>
      <c r="F473" s="348"/>
      <c r="G473" s="345"/>
      <c r="H473" s="351"/>
      <c r="I473" s="354"/>
      <c r="J473" s="357"/>
      <c r="K473" s="360"/>
      <c r="L473" s="357"/>
      <c r="M473" s="354"/>
      <c r="N473" s="357"/>
      <c r="O473" s="363"/>
      <c r="P473" s="226">
        <v>5</v>
      </c>
      <c r="Q473" s="224" t="s">
        <v>1158</v>
      </c>
      <c r="R473" s="227" t="str">
        <f t="shared" si="165"/>
        <v>Probabilidad</v>
      </c>
      <c r="S473" s="228" t="s">
        <v>14</v>
      </c>
      <c r="T473" s="228" t="s">
        <v>9</v>
      </c>
      <c r="U473" s="229" t="str">
        <f t="shared" si="166"/>
        <v>40%</v>
      </c>
      <c r="V473" s="228" t="s">
        <v>19</v>
      </c>
      <c r="W473" s="228" t="s">
        <v>22</v>
      </c>
      <c r="X473" s="228" t="s">
        <v>111</v>
      </c>
      <c r="Y473" s="230">
        <f t="shared" ref="Y473:Y475" si="172">IFERROR(IF(AND(R472="Probabilidad",R473="Probabilidad"),(AA472-(+AA472*U473)),IF(AND(R472="Impacto",R473="Probabilidad"),(AA471-(+AA471*U473)),IF(R473="Impacto",AA472,""))),"")</f>
        <v>0.12959999999999999</v>
      </c>
      <c r="Z473" s="231" t="str">
        <f t="shared" si="167"/>
        <v>Muy Baja</v>
      </c>
      <c r="AA473" s="232">
        <f t="shared" si="168"/>
        <v>0.12959999999999999</v>
      </c>
      <c r="AB473" s="231" t="str">
        <f t="shared" si="169"/>
        <v>Moderado</v>
      </c>
      <c r="AC473" s="232">
        <f t="shared" si="171"/>
        <v>0.60000000000000009</v>
      </c>
      <c r="AD473" s="233" t="str">
        <f t="shared" ref="AD473:AD482" si="173">IFERROR(IF(OR(AND(Z473="Muy Baja",AB473="Leve"),AND(Z473="Muy Baja",AB473="Menor"),AND(Z473="Baja",AB473="Leve")),"Bajo",IF(OR(AND(Z473="Muy baja",AB473="Moderado"),AND(Z473="Baja",AB473="Menor"),AND(Z473="Baja",AB473="Moderado"),AND(Z473="Media",AB473="Leve"),AND(Z473="Media",AB473="Menor"),AND(Z473="Media",AB473="Moderado"),AND(Z473="Alta",AB473="Leve"),AND(Z473="Alta",AB473="Menor")),"Moderado",IF(OR(AND(Z473="Muy Baja",AB473="Mayor"),AND(Z473="Baja",AB473="Mayor"),AND(Z473="Media",AB473="Mayor"),AND(Z473="Alta",AB473="Moderado"),AND(Z473="Alta",AB473="Mayor"),AND(Z473="Muy Alta",AB473="Leve"),AND(Z473="Muy Alta",AB473="Menor"),AND(Z473="Muy Alta",AB473="Moderado"),AND(Z473="Muy Alta",AB473="Mayor")),"Alto",IF(OR(AND(Z473="Muy Baja",AB473="Catastrófico"),AND(Z473="Baja",AB473="Catastrófico"),AND(Z473="Media",AB473="Catastrófico"),AND(Z473="Alta",AB473="Catastrófico"),AND(Z473="Muy Alta",AB473="Catastrófico")),"Extremo","")))),"")</f>
        <v>Moderado</v>
      </c>
      <c r="AE473" s="234" t="s">
        <v>257</v>
      </c>
      <c r="AF473" s="235" t="s">
        <v>1159</v>
      </c>
      <c r="AG473" s="236" t="s">
        <v>1160</v>
      </c>
      <c r="AH473" s="236" t="s">
        <v>311</v>
      </c>
      <c r="AI473" s="236" t="s">
        <v>1148</v>
      </c>
      <c r="AJ473" s="237" t="s">
        <v>1149</v>
      </c>
      <c r="AK473" s="237" t="s">
        <v>1150</v>
      </c>
      <c r="AL473" s="237">
        <v>44926</v>
      </c>
      <c r="AM473" s="351"/>
      <c r="AN473" s="351"/>
    </row>
    <row r="474" spans="1:40" ht="81">
      <c r="A474" s="342"/>
      <c r="B474" s="345"/>
      <c r="C474" s="345"/>
      <c r="D474" s="345"/>
      <c r="E474" s="345"/>
      <c r="F474" s="348"/>
      <c r="G474" s="345"/>
      <c r="H474" s="351"/>
      <c r="I474" s="354"/>
      <c r="J474" s="357"/>
      <c r="K474" s="360"/>
      <c r="L474" s="357"/>
      <c r="M474" s="354"/>
      <c r="N474" s="357"/>
      <c r="O474" s="363"/>
      <c r="P474" s="226">
        <v>6</v>
      </c>
      <c r="Q474" s="224" t="s">
        <v>1161</v>
      </c>
      <c r="R474" s="227" t="str">
        <f t="shared" si="165"/>
        <v>Impacto</v>
      </c>
      <c r="S474" s="228" t="s">
        <v>16</v>
      </c>
      <c r="T474" s="228" t="s">
        <v>9</v>
      </c>
      <c r="U474" s="229" t="str">
        <f t="shared" si="166"/>
        <v>25%</v>
      </c>
      <c r="V474" s="228" t="s">
        <v>19</v>
      </c>
      <c r="W474" s="228" t="s">
        <v>22</v>
      </c>
      <c r="X474" s="228" t="s">
        <v>111</v>
      </c>
      <c r="Y474" s="230">
        <f t="shared" si="172"/>
        <v>0.12959999999999999</v>
      </c>
      <c r="Z474" s="231" t="str">
        <f t="shared" si="167"/>
        <v>Muy Baja</v>
      </c>
      <c r="AA474" s="232">
        <f t="shared" si="168"/>
        <v>0.12959999999999999</v>
      </c>
      <c r="AB474" s="231" t="str">
        <f t="shared" si="169"/>
        <v>Moderado</v>
      </c>
      <c r="AC474" s="232">
        <f t="shared" si="171"/>
        <v>0.45000000000000007</v>
      </c>
      <c r="AD474" s="233" t="str">
        <f t="shared" si="173"/>
        <v>Moderado</v>
      </c>
      <c r="AE474" s="234" t="s">
        <v>257</v>
      </c>
      <c r="AF474" s="235" t="s">
        <v>1162</v>
      </c>
      <c r="AG474" s="236" t="s">
        <v>1163</v>
      </c>
      <c r="AH474" s="236" t="s">
        <v>1126</v>
      </c>
      <c r="AI474" s="236" t="s">
        <v>1148</v>
      </c>
      <c r="AJ474" s="237" t="s">
        <v>1149</v>
      </c>
      <c r="AK474" s="237" t="s">
        <v>1150</v>
      </c>
      <c r="AL474" s="237">
        <v>44926</v>
      </c>
      <c r="AM474" s="351"/>
      <c r="AN474" s="351"/>
    </row>
    <row r="475" spans="1:40" ht="67.5">
      <c r="A475" s="342"/>
      <c r="B475" s="345"/>
      <c r="C475" s="345"/>
      <c r="D475" s="345"/>
      <c r="E475" s="345"/>
      <c r="F475" s="348"/>
      <c r="G475" s="345"/>
      <c r="H475" s="351"/>
      <c r="I475" s="354"/>
      <c r="J475" s="357"/>
      <c r="K475" s="360"/>
      <c r="L475" s="357"/>
      <c r="M475" s="354"/>
      <c r="N475" s="357"/>
      <c r="O475" s="363"/>
      <c r="P475" s="226">
        <v>7</v>
      </c>
      <c r="Q475" s="224" t="s">
        <v>1164</v>
      </c>
      <c r="R475" s="227" t="str">
        <f t="shared" si="165"/>
        <v>Impacto</v>
      </c>
      <c r="S475" s="228" t="s">
        <v>16</v>
      </c>
      <c r="T475" s="228" t="s">
        <v>9</v>
      </c>
      <c r="U475" s="229" t="str">
        <f t="shared" si="166"/>
        <v>25%</v>
      </c>
      <c r="V475" s="228" t="s">
        <v>19</v>
      </c>
      <c r="W475" s="228" t="s">
        <v>22</v>
      </c>
      <c r="X475" s="228" t="s">
        <v>111</v>
      </c>
      <c r="Y475" s="230">
        <f t="shared" si="172"/>
        <v>0.12959999999999999</v>
      </c>
      <c r="Z475" s="231" t="str">
        <f t="shared" si="167"/>
        <v>Muy Baja</v>
      </c>
      <c r="AA475" s="232">
        <f t="shared" si="168"/>
        <v>0.12959999999999999</v>
      </c>
      <c r="AB475" s="231" t="str">
        <f t="shared" si="169"/>
        <v>Menor</v>
      </c>
      <c r="AC475" s="232">
        <f t="shared" si="171"/>
        <v>0.33750000000000002</v>
      </c>
      <c r="AD475" s="233" t="str">
        <f t="shared" si="173"/>
        <v>Bajo</v>
      </c>
      <c r="AE475" s="234" t="s">
        <v>31</v>
      </c>
      <c r="AF475" s="235"/>
      <c r="AG475" s="236"/>
      <c r="AH475" s="236"/>
      <c r="AI475" s="236"/>
      <c r="AJ475" s="237"/>
      <c r="AK475" s="237"/>
      <c r="AL475" s="237"/>
      <c r="AM475" s="351"/>
      <c r="AN475" s="351"/>
    </row>
    <row r="476" spans="1:40" ht="81">
      <c r="A476" s="342">
        <v>78</v>
      </c>
      <c r="B476" s="344" t="s">
        <v>212</v>
      </c>
      <c r="C476" s="344" t="s">
        <v>125</v>
      </c>
      <c r="D476" s="344" t="s">
        <v>1165</v>
      </c>
      <c r="E476" s="344" t="s">
        <v>1166</v>
      </c>
      <c r="F476" s="347" t="s">
        <v>1167</v>
      </c>
      <c r="G476" s="344" t="s">
        <v>120</v>
      </c>
      <c r="H476" s="350">
        <v>2152</v>
      </c>
      <c r="I476" s="353" t="str">
        <f>IF(H476&lt;=0,"",IF(H476&lt;=2,"Muy Baja",IF(H476&lt;=24,"Baja",IF(H476&lt;=500,"Media",IF(H476&lt;=5000,"Alta","Muy Alta")))))</f>
        <v>Alta</v>
      </c>
      <c r="J476" s="356">
        <f>IF(I476="","",IF(I476="Muy Baja",0.2,IF(I476="Baja",0.4,IF(I476="Media",0.6,IF(I476="Alta",0.8,IF(I476="Muy Alta",1,))))))</f>
        <v>0.8</v>
      </c>
      <c r="K476" s="359" t="s">
        <v>143</v>
      </c>
      <c r="L476" s="356" t="str">
        <f>IF(NOT(ISERROR(MATCH(K476,'[9]Tabla Impacto'!$B$221:$B$223,0))),'[9]Tabla Impacto'!$F$223&amp;"Por favor no seleccionar los criterios de impacto(Afectación Económica o presupuestal y Pérdida Reputacional)",K476)</f>
        <v xml:space="preserve">     El riesgo afecta la imagen de de la entidad con efecto publicitario sostenido a nivel de sector administrativo, nivel departamental o municipal</v>
      </c>
      <c r="M476" s="353" t="str">
        <f>IF(OR(L476='[9]Tabla Impacto'!$C$11,L476='[9]Tabla Impacto'!$D$11),"Leve",IF(OR(L476='[9]Tabla Impacto'!$C$12,L476='[9]Tabla Impacto'!$D$12),"Menor",IF(OR(L476='[9]Tabla Impacto'!$C$13,L476='[9]Tabla Impacto'!$D$13),"Moderado",IF(OR(L476='[9]Tabla Impacto'!$C$14,L476='[9]Tabla Impacto'!$D$14),"Mayor",IF(OR(L476='[9]Tabla Impacto'!$C$15,L476='[9]Tabla Impacto'!$D$15),"Catastrófico","")))))</f>
        <v>Mayor</v>
      </c>
      <c r="N476" s="356">
        <f>IF(M476="","",IF(M476="Leve",0.2,IF(M476="Menor",0.4,IF(M476="Moderado",0.6,IF(M476="Mayor",0.8,IF(M476="Catastrófico",1,))))))</f>
        <v>0.8</v>
      </c>
      <c r="O476" s="362" t="str">
        <f>IF(OR(AND(I476="Muy Baja",M476="Leve"),AND(I476="Muy Baja",M476="Menor"),AND(I476="Baja",M476="Leve")),"Bajo",IF(OR(AND(I476="Muy baja",M476="Moderado"),AND(I476="Baja",M476="Menor"),AND(I476="Baja",M476="Moderado"),AND(I476="Media",M476="Leve"),AND(I476="Media",M476="Menor"),AND(I476="Media",M476="Moderado"),AND(I476="Alta",M476="Leve"),AND(I476="Alta",M476="Menor")),"Moderado",IF(OR(AND(I476="Muy Baja",M476="Mayor"),AND(I476="Baja",M476="Mayor"),AND(I476="Media",M476="Mayor"),AND(I476="Alta",M476="Moderado"),AND(I476="Alta",M476="Mayor"),AND(I476="Muy Alta",M476="Leve"),AND(I476="Muy Alta",M476="Menor"),AND(I476="Muy Alta",M476="Moderado"),AND(I476="Muy Alta",M476="Mayor")),"Alto",IF(OR(AND(I476="Muy Baja",M476="Catastrófico"),AND(I476="Baja",M476="Catastrófico"),AND(I476="Media",M476="Catastrófico"),AND(I476="Alta",M476="Catastrófico"),AND(I476="Muy Alta",M476="Catastrófico")),"Extremo",""))))</f>
        <v>Alto</v>
      </c>
      <c r="P476" s="226">
        <v>1</v>
      </c>
      <c r="Q476" s="224" t="s">
        <v>1168</v>
      </c>
      <c r="R476" s="227" t="str">
        <f t="shared" si="165"/>
        <v>Probabilidad</v>
      </c>
      <c r="S476" s="228" t="s">
        <v>14</v>
      </c>
      <c r="T476" s="228" t="s">
        <v>9</v>
      </c>
      <c r="U476" s="229" t="str">
        <f t="shared" si="166"/>
        <v>40%</v>
      </c>
      <c r="V476" s="228" t="s">
        <v>19</v>
      </c>
      <c r="W476" s="228" t="s">
        <v>22</v>
      </c>
      <c r="X476" s="228" t="s">
        <v>111</v>
      </c>
      <c r="Y476" s="230">
        <f t="shared" ref="Y476" si="174">IFERROR(IF(R476="Probabilidad",(J476-(+J476*U476)),IF(R476="Impacto",J476,"")),"")</f>
        <v>0.48</v>
      </c>
      <c r="Z476" s="231" t="str">
        <f t="shared" si="167"/>
        <v>Media</v>
      </c>
      <c r="AA476" s="232">
        <f t="shared" si="168"/>
        <v>0.48</v>
      </c>
      <c r="AB476" s="231" t="str">
        <f t="shared" si="169"/>
        <v>Mayor</v>
      </c>
      <c r="AC476" s="232">
        <f t="shared" ref="AC476" si="175">IFERROR(IF(R476="Impacto",(N476-(+N476*U476)),IF(R476="Probabilidad",N476,"")),"")</f>
        <v>0.8</v>
      </c>
      <c r="AD476" s="233" t="str">
        <f t="shared" si="173"/>
        <v>Alto</v>
      </c>
      <c r="AE476" s="234" t="s">
        <v>257</v>
      </c>
      <c r="AF476" s="235" t="s">
        <v>1169</v>
      </c>
      <c r="AG476" s="236" t="s">
        <v>1163</v>
      </c>
      <c r="AH476" s="236" t="s">
        <v>1126</v>
      </c>
      <c r="AI476" s="236" t="s">
        <v>1148</v>
      </c>
      <c r="AJ476" s="236" t="s">
        <v>1149</v>
      </c>
      <c r="AK476" s="237" t="s">
        <v>1150</v>
      </c>
      <c r="AL476" s="237">
        <v>44926</v>
      </c>
      <c r="AM476" s="350">
        <v>4087</v>
      </c>
      <c r="AN476" s="350"/>
    </row>
    <row r="477" spans="1:40" ht="67.5">
      <c r="A477" s="342"/>
      <c r="B477" s="345"/>
      <c r="C477" s="345"/>
      <c r="D477" s="345"/>
      <c r="E477" s="345"/>
      <c r="F477" s="348"/>
      <c r="G477" s="345"/>
      <c r="H477" s="351"/>
      <c r="I477" s="354"/>
      <c r="J477" s="357"/>
      <c r="K477" s="360"/>
      <c r="L477" s="357">
        <f ca="1">IF(NOT(ISERROR(MATCH(K477,_xlfn.ANCHORARRAY(F498),0))),J500&amp;"Por favor no seleccionar los criterios de impacto",K477)</f>
        <v>0</v>
      </c>
      <c r="M477" s="354"/>
      <c r="N477" s="357"/>
      <c r="O477" s="363"/>
      <c r="P477" s="226">
        <v>2</v>
      </c>
      <c r="Q477" s="224" t="s">
        <v>1170</v>
      </c>
      <c r="R477" s="227" t="str">
        <f t="shared" si="165"/>
        <v>Impacto</v>
      </c>
      <c r="S477" s="228" t="s">
        <v>16</v>
      </c>
      <c r="T477" s="228" t="s">
        <v>9</v>
      </c>
      <c r="U477" s="229" t="str">
        <f t="shared" si="166"/>
        <v>25%</v>
      </c>
      <c r="V477" s="228" t="s">
        <v>19</v>
      </c>
      <c r="W477" s="228" t="s">
        <v>22</v>
      </c>
      <c r="X477" s="228" t="s">
        <v>111</v>
      </c>
      <c r="Y477" s="230">
        <f t="shared" ref="Y477" si="176">IFERROR(IF(AND(R476="Probabilidad",R477="Probabilidad"),(AA476-(+AA476*U477)),IF(R477="Probabilidad",(J476-(+J476*U477)),IF(R477="Impacto",AA476,""))),"")</f>
        <v>0.48</v>
      </c>
      <c r="Z477" s="231" t="str">
        <f t="shared" si="167"/>
        <v>Media</v>
      </c>
      <c r="AA477" s="232">
        <f t="shared" si="168"/>
        <v>0.48</v>
      </c>
      <c r="AB477" s="231" t="str">
        <f t="shared" si="169"/>
        <v>Moderado</v>
      </c>
      <c r="AC477" s="232">
        <f t="shared" ref="AC477" si="177">IFERROR(IF(AND(R476="Impacto",R477="Impacto"),(AC476-(+AC476*U477)),IF(R477="Impacto",(N476-(+N476*U477)),IF(R477="Probabilidad",AC476,""))),"")</f>
        <v>0.60000000000000009</v>
      </c>
      <c r="AD477" s="233" t="str">
        <f t="shared" si="173"/>
        <v>Moderado</v>
      </c>
      <c r="AE477" s="234" t="s">
        <v>257</v>
      </c>
      <c r="AF477" s="235" t="s">
        <v>1171</v>
      </c>
      <c r="AG477" s="236" t="s">
        <v>1172</v>
      </c>
      <c r="AH477" s="236" t="s">
        <v>1126</v>
      </c>
      <c r="AI477" s="236" t="s">
        <v>1148</v>
      </c>
      <c r="AJ477" s="236" t="s">
        <v>1149</v>
      </c>
      <c r="AK477" s="237" t="s">
        <v>1150</v>
      </c>
      <c r="AL477" s="237">
        <v>44926</v>
      </c>
      <c r="AM477" s="351"/>
      <c r="AN477" s="351"/>
    </row>
    <row r="478" spans="1:40" ht="54">
      <c r="A478" s="342"/>
      <c r="B478" s="345"/>
      <c r="C478" s="345"/>
      <c r="D478" s="345"/>
      <c r="E478" s="345"/>
      <c r="F478" s="348"/>
      <c r="G478" s="345"/>
      <c r="H478" s="351"/>
      <c r="I478" s="354"/>
      <c r="J478" s="357"/>
      <c r="K478" s="360"/>
      <c r="L478" s="357">
        <f ca="1">IF(NOT(ISERROR(MATCH(K478,_xlfn.ANCHORARRAY(F499),0))),J501&amp;"Por favor no seleccionar los criterios de impacto",K478)</f>
        <v>0</v>
      </c>
      <c r="M478" s="354"/>
      <c r="N478" s="357"/>
      <c r="O478" s="363"/>
      <c r="P478" s="226">
        <v>3</v>
      </c>
      <c r="Q478" s="224" t="s">
        <v>1173</v>
      </c>
      <c r="R478" s="227" t="str">
        <f t="shared" si="165"/>
        <v>Impacto</v>
      </c>
      <c r="S478" s="228" t="s">
        <v>16</v>
      </c>
      <c r="T478" s="228" t="s">
        <v>9</v>
      </c>
      <c r="U478" s="229" t="str">
        <f t="shared" si="166"/>
        <v>25%</v>
      </c>
      <c r="V478" s="228" t="s">
        <v>19</v>
      </c>
      <c r="W478" s="228" t="s">
        <v>22</v>
      </c>
      <c r="X478" s="228" t="s">
        <v>111</v>
      </c>
      <c r="Y478" s="230">
        <f t="shared" ref="Y478:Y482" si="178">IFERROR(IF(AND(R477="Probabilidad",R478="Probabilidad"),(AA477-(+AA477*U478)),IF(AND(R477="Impacto",R478="Probabilidad"),(AA476-(+AA476*U478)),IF(R478="Impacto",AA477,""))),"")</f>
        <v>0.48</v>
      </c>
      <c r="Z478" s="231" t="str">
        <f t="shared" si="167"/>
        <v>Media</v>
      </c>
      <c r="AA478" s="232">
        <f t="shared" si="168"/>
        <v>0.48</v>
      </c>
      <c r="AB478" s="231" t="str">
        <f t="shared" si="169"/>
        <v>Moderado</v>
      </c>
      <c r="AC478" s="232">
        <f t="shared" ref="AC478:AC482" si="179">IFERROR(IF(AND(R477="Impacto",R478="Impacto"),(AC477-(+AC477*U478)),IF(AND(R477="Probabilidad",R478="Impacto"),(AC476-(+AC476*U478)),IF(R478="Probabilidad",AC477,""))),"")</f>
        <v>0.45000000000000007</v>
      </c>
      <c r="AD478" s="233" t="str">
        <f t="shared" si="173"/>
        <v>Moderado</v>
      </c>
      <c r="AE478" s="234" t="s">
        <v>257</v>
      </c>
      <c r="AF478" s="235" t="s">
        <v>1174</v>
      </c>
      <c r="AG478" s="236" t="s">
        <v>1172</v>
      </c>
      <c r="AH478" s="236" t="s">
        <v>1126</v>
      </c>
      <c r="AI478" s="236" t="s">
        <v>1148</v>
      </c>
      <c r="AJ478" s="236" t="s">
        <v>1149</v>
      </c>
      <c r="AK478" s="237" t="s">
        <v>1150</v>
      </c>
      <c r="AL478" s="237">
        <v>44926</v>
      </c>
      <c r="AM478" s="351"/>
      <c r="AN478" s="351"/>
    </row>
    <row r="479" spans="1:40" ht="54">
      <c r="A479" s="342"/>
      <c r="B479" s="345"/>
      <c r="C479" s="345"/>
      <c r="D479" s="345"/>
      <c r="E479" s="345"/>
      <c r="F479" s="348"/>
      <c r="G479" s="345"/>
      <c r="H479" s="351"/>
      <c r="I479" s="354"/>
      <c r="J479" s="357"/>
      <c r="K479" s="360"/>
      <c r="L479" s="357">
        <f ca="1">IF(NOT(ISERROR(MATCH(K479,_xlfn.ANCHORARRAY(F500),0))),J502&amp;"Por favor no seleccionar los criterios de impacto",K479)</f>
        <v>0</v>
      </c>
      <c r="M479" s="354"/>
      <c r="N479" s="357"/>
      <c r="O479" s="363"/>
      <c r="P479" s="226">
        <v>4</v>
      </c>
      <c r="Q479" s="224" t="s">
        <v>1175</v>
      </c>
      <c r="R479" s="227" t="str">
        <f t="shared" si="165"/>
        <v>Probabilidad</v>
      </c>
      <c r="S479" s="228" t="s">
        <v>1176</v>
      </c>
      <c r="T479" s="228" t="s">
        <v>9</v>
      </c>
      <c r="U479" s="229" t="str">
        <f t="shared" si="166"/>
        <v>30%</v>
      </c>
      <c r="V479" s="228" t="s">
        <v>19</v>
      </c>
      <c r="W479" s="228" t="s">
        <v>22</v>
      </c>
      <c r="X479" s="228" t="s">
        <v>111</v>
      </c>
      <c r="Y479" s="230">
        <f t="shared" si="178"/>
        <v>0.33599999999999997</v>
      </c>
      <c r="Z479" s="231" t="str">
        <f t="shared" si="167"/>
        <v>Baja</v>
      </c>
      <c r="AA479" s="232">
        <f t="shared" si="168"/>
        <v>0.33599999999999997</v>
      </c>
      <c r="AB479" s="231" t="str">
        <f t="shared" si="169"/>
        <v>Moderado</v>
      </c>
      <c r="AC479" s="232">
        <f t="shared" si="179"/>
        <v>0.45000000000000007</v>
      </c>
      <c r="AD479" s="233" t="str">
        <f t="shared" si="173"/>
        <v>Moderado</v>
      </c>
      <c r="AE479" s="234" t="s">
        <v>257</v>
      </c>
      <c r="AF479" s="235" t="s">
        <v>1177</v>
      </c>
      <c r="AG479" s="236" t="s">
        <v>1172</v>
      </c>
      <c r="AH479" s="236" t="s">
        <v>1126</v>
      </c>
      <c r="AI479" s="236" t="s">
        <v>1148</v>
      </c>
      <c r="AJ479" s="236" t="s">
        <v>1149</v>
      </c>
      <c r="AK479" s="237" t="s">
        <v>1150</v>
      </c>
      <c r="AL479" s="237">
        <v>44926</v>
      </c>
      <c r="AM479" s="351"/>
      <c r="AN479" s="351"/>
    </row>
    <row r="480" spans="1:40" ht="67.5">
      <c r="A480" s="342"/>
      <c r="B480" s="345"/>
      <c r="C480" s="345"/>
      <c r="D480" s="345"/>
      <c r="E480" s="345"/>
      <c r="F480" s="348"/>
      <c r="G480" s="345"/>
      <c r="H480" s="351"/>
      <c r="I480" s="354"/>
      <c r="J480" s="357"/>
      <c r="K480" s="360"/>
      <c r="L480" s="357">
        <f ca="1">IF(NOT(ISERROR(MATCH(K480,_xlfn.ANCHORARRAY(F501),0))),J512&amp;"Por favor no seleccionar los criterios de impacto",K480)</f>
        <v>0</v>
      </c>
      <c r="M480" s="354"/>
      <c r="N480" s="357"/>
      <c r="O480" s="363"/>
      <c r="P480" s="226">
        <v>5</v>
      </c>
      <c r="Q480" s="224" t="s">
        <v>1178</v>
      </c>
      <c r="R480" s="227" t="str">
        <f t="shared" si="165"/>
        <v>Impacto</v>
      </c>
      <c r="S480" s="228" t="s">
        <v>16</v>
      </c>
      <c r="T480" s="228" t="s">
        <v>9</v>
      </c>
      <c r="U480" s="229" t="str">
        <f t="shared" si="166"/>
        <v>25%</v>
      </c>
      <c r="V480" s="228" t="s">
        <v>19</v>
      </c>
      <c r="W480" s="228" t="s">
        <v>22</v>
      </c>
      <c r="X480" s="228" t="s">
        <v>111</v>
      </c>
      <c r="Y480" s="230">
        <f t="shared" si="178"/>
        <v>0.33599999999999997</v>
      </c>
      <c r="Z480" s="231" t="str">
        <f t="shared" si="167"/>
        <v>Baja</v>
      </c>
      <c r="AA480" s="232">
        <f t="shared" si="168"/>
        <v>0.33599999999999997</v>
      </c>
      <c r="AB480" s="231" t="str">
        <f t="shared" si="169"/>
        <v>Menor</v>
      </c>
      <c r="AC480" s="232">
        <f t="shared" si="179"/>
        <v>0.33750000000000002</v>
      </c>
      <c r="AD480" s="233" t="str">
        <f t="shared" si="173"/>
        <v>Moderado</v>
      </c>
      <c r="AE480" s="234" t="s">
        <v>257</v>
      </c>
      <c r="AF480" s="238"/>
      <c r="AG480" s="238"/>
      <c r="AH480" s="238"/>
      <c r="AI480" s="238"/>
      <c r="AJ480" s="238"/>
      <c r="AK480" s="238"/>
      <c r="AL480" s="238"/>
      <c r="AM480" s="351"/>
      <c r="AN480" s="351"/>
    </row>
    <row r="481" spans="1:40" ht="67.5">
      <c r="A481" s="342"/>
      <c r="B481" s="345"/>
      <c r="C481" s="345"/>
      <c r="D481" s="345"/>
      <c r="E481" s="345"/>
      <c r="F481" s="348"/>
      <c r="G481" s="345"/>
      <c r="H481" s="351"/>
      <c r="I481" s="354"/>
      <c r="J481" s="357"/>
      <c r="K481" s="360"/>
      <c r="L481" s="357"/>
      <c r="M481" s="354"/>
      <c r="N481" s="357"/>
      <c r="O481" s="363"/>
      <c r="P481" s="226">
        <v>6</v>
      </c>
      <c r="Q481" s="224" t="s">
        <v>1179</v>
      </c>
      <c r="R481" s="227" t="str">
        <f t="shared" si="165"/>
        <v>Impacto</v>
      </c>
      <c r="S481" s="228" t="s">
        <v>16</v>
      </c>
      <c r="T481" s="228" t="s">
        <v>9</v>
      </c>
      <c r="U481" s="229" t="str">
        <f t="shared" si="166"/>
        <v>25%</v>
      </c>
      <c r="V481" s="228" t="s">
        <v>19</v>
      </c>
      <c r="W481" s="228" t="s">
        <v>22</v>
      </c>
      <c r="X481" s="228" t="s">
        <v>111</v>
      </c>
      <c r="Y481" s="230">
        <f t="shared" si="178"/>
        <v>0.33599999999999997</v>
      </c>
      <c r="Z481" s="231" t="str">
        <f t="shared" si="167"/>
        <v>Baja</v>
      </c>
      <c r="AA481" s="232">
        <f t="shared" si="168"/>
        <v>0.33599999999999997</v>
      </c>
      <c r="AB481" s="231" t="str">
        <f t="shared" si="169"/>
        <v>Menor</v>
      </c>
      <c r="AC481" s="232">
        <f t="shared" si="179"/>
        <v>0.25312500000000004</v>
      </c>
      <c r="AD481" s="233" t="str">
        <f t="shared" si="173"/>
        <v>Moderado</v>
      </c>
      <c r="AE481" s="234" t="s">
        <v>257</v>
      </c>
      <c r="AF481" s="235"/>
      <c r="AG481" s="236"/>
      <c r="AH481" s="236"/>
      <c r="AI481" s="236"/>
      <c r="AJ481" s="236"/>
      <c r="AK481" s="237"/>
      <c r="AL481" s="237"/>
      <c r="AM481" s="351"/>
      <c r="AN481" s="351"/>
    </row>
    <row r="482" spans="1:40" ht="54">
      <c r="A482" s="342"/>
      <c r="B482" s="345"/>
      <c r="C482" s="345"/>
      <c r="D482" s="345"/>
      <c r="E482" s="345"/>
      <c r="F482" s="348"/>
      <c r="G482" s="345"/>
      <c r="H482" s="351"/>
      <c r="I482" s="354"/>
      <c r="J482" s="357"/>
      <c r="K482" s="360"/>
      <c r="L482" s="357"/>
      <c r="M482" s="354"/>
      <c r="N482" s="357"/>
      <c r="O482" s="363"/>
      <c r="P482" s="226">
        <v>7</v>
      </c>
      <c r="Q482" s="224" t="s">
        <v>1180</v>
      </c>
      <c r="R482" s="227" t="str">
        <f t="shared" si="165"/>
        <v>Impacto</v>
      </c>
      <c r="S482" s="228" t="s">
        <v>16</v>
      </c>
      <c r="T482" s="228" t="s">
        <v>9</v>
      </c>
      <c r="U482" s="229" t="str">
        <f t="shared" si="166"/>
        <v>25%</v>
      </c>
      <c r="V482" s="228" t="s">
        <v>19</v>
      </c>
      <c r="W482" s="228" t="s">
        <v>22</v>
      </c>
      <c r="X482" s="228" t="s">
        <v>111</v>
      </c>
      <c r="Y482" s="230">
        <f t="shared" si="178"/>
        <v>0.33599999999999997</v>
      </c>
      <c r="Z482" s="231" t="str">
        <f t="shared" si="167"/>
        <v>Baja</v>
      </c>
      <c r="AA482" s="232">
        <f t="shared" si="168"/>
        <v>0.33599999999999997</v>
      </c>
      <c r="AB482" s="231" t="str">
        <f t="shared" si="169"/>
        <v>Leve</v>
      </c>
      <c r="AC482" s="232">
        <f t="shared" si="179"/>
        <v>0.18984375000000003</v>
      </c>
      <c r="AD482" s="233" t="str">
        <f t="shared" si="173"/>
        <v>Bajo</v>
      </c>
      <c r="AE482" s="234" t="s">
        <v>31</v>
      </c>
      <c r="AF482" s="235"/>
      <c r="AG482" s="236"/>
      <c r="AH482" s="236"/>
      <c r="AI482" s="236"/>
      <c r="AJ482" s="236"/>
      <c r="AK482" s="237"/>
      <c r="AL482" s="237"/>
      <c r="AM482" s="351"/>
      <c r="AN482" s="351"/>
    </row>
    <row r="483" spans="1:40" ht="81">
      <c r="A483" s="342">
        <v>79</v>
      </c>
      <c r="B483" s="344" t="s">
        <v>212</v>
      </c>
      <c r="C483" s="344" t="s">
        <v>123</v>
      </c>
      <c r="D483" s="344" t="s">
        <v>1190</v>
      </c>
      <c r="E483" s="344" t="s">
        <v>1191</v>
      </c>
      <c r="F483" s="347" t="s">
        <v>1192</v>
      </c>
      <c r="G483" s="344" t="s">
        <v>115</v>
      </c>
      <c r="H483" s="350">
        <v>10</v>
      </c>
      <c r="I483" s="353" t="str">
        <f>IF(H483&lt;=0,"",IF(H483&lt;=2,"Muy Baja",IF(H483&lt;=24,"Baja",IF(H483&lt;=500,"Media",IF(H483&lt;=5000,"Alta","Muy Alta")))))</f>
        <v>Baja</v>
      </c>
      <c r="J483" s="356">
        <f>IF(I483="","",IF(I483="Muy Baja",0.2,IF(I483="Baja",0.4,IF(I483="Media",0.6,IF(I483="Alta",0.8,IF(I483="Muy Alta",1,))))))</f>
        <v>0.4</v>
      </c>
      <c r="K483" s="359" t="s">
        <v>142</v>
      </c>
      <c r="L483" s="356" t="str">
        <f>IF(NOT(ISERROR(MATCH(K483,'[10]Tabla Impacto'!$B$221:$B$223,0))),'[10]Tabla Impacto'!$F$223&amp;"Por favor no seleccionar los criterios de impacto(Afectación Económica o presupuestal y Pérdida Reputacional)",K483)</f>
        <v xml:space="preserve">     El riesgo afecta la imagen de la entidad con algunos usuarios de relevancia frente al logro de los objetivos</v>
      </c>
      <c r="M483" s="353" t="str">
        <f>IF(OR(L483='[10]Tabla Impacto'!$C$11,L483='[10]Tabla Impacto'!$D$11),"Leve",IF(OR(L483='[10]Tabla Impacto'!$C$12,L483='[10]Tabla Impacto'!$D$12),"Menor",IF(OR(L483='[10]Tabla Impacto'!$C$13,L483='[10]Tabla Impacto'!$D$13),"Moderado",IF(OR(L483='[10]Tabla Impacto'!$C$14,L483='[10]Tabla Impacto'!$D$14),"Mayor",IF(OR(L483='[10]Tabla Impacto'!$C$15,L483='[10]Tabla Impacto'!$D$15),"Catastrófico","")))))</f>
        <v>Moderado</v>
      </c>
      <c r="N483" s="356">
        <f>IF(M483="","",IF(M483="Leve",0.2,IF(M483="Menor",0.4,IF(M483="Moderado",0.6,IF(M483="Mayor",0.8,IF(M483="Catastrófico",1,))))))</f>
        <v>0.6</v>
      </c>
      <c r="O483" s="362" t="str">
        <f>IF(OR(AND(I483="Muy Baja",M483="Leve"),AND(I483="Muy Baja",M483="Menor"),AND(I483="Baja",M483="Leve")),"Bajo",IF(OR(AND(I483="Muy baja",M483="Moderado"),AND(I483="Baja",M483="Menor"),AND(I483="Baja",M483="Moderado"),AND(I483="Media",M483="Leve"),AND(I483="Media",M483="Menor"),AND(I483="Media",M483="Moderado"),AND(I483="Alta",M483="Leve"),AND(I483="Alta",M483="Menor")),"Moderado",IF(OR(AND(I483="Muy Baja",M483="Mayor"),AND(I483="Baja",M483="Mayor"),AND(I483="Media",M483="Mayor"),AND(I483="Alta",M483="Moderado"),AND(I483="Alta",M483="Mayor"),AND(I483="Muy Alta",M483="Leve"),AND(I483="Muy Alta",M483="Menor"),AND(I483="Muy Alta",M483="Moderado"),AND(I483="Muy Alta",M483="Mayor")),"Alto",IF(OR(AND(I483="Muy Baja",M483="Catastrófico"),AND(I483="Baja",M483="Catastrófico"),AND(I483="Media",M483="Catastrófico"),AND(I483="Alta",M483="Catastrófico"),AND(I483="Muy Alta",M483="Catastrófico")),"Extremo",""))))</f>
        <v>Moderado</v>
      </c>
      <c r="P483" s="226">
        <v>1</v>
      </c>
      <c r="Q483" s="224" t="s">
        <v>1193</v>
      </c>
      <c r="R483" s="227" t="str">
        <f t="shared" si="165"/>
        <v>Impacto</v>
      </c>
      <c r="S483" s="228" t="s">
        <v>16</v>
      </c>
      <c r="T483" s="228" t="s">
        <v>9</v>
      </c>
      <c r="U483" s="229" t="str">
        <f>IF(AND(S483="Preventivo",T483="Automático"),"50%",IF(AND(S483="Preventivo",T483="Manual"),"40%",IF(AND(S483="Detectivo",T483="Automático"),"40%",IF(AND(S483="Detectivo",T483="Manual"),"30%",IF(AND(S483="Correctivo",T483="Automático"),"35%",IF(AND(S483="Correctivo",T483="Manual"),"25%",""))))))</f>
        <v>25%</v>
      </c>
      <c r="V483" s="228" t="s">
        <v>19</v>
      </c>
      <c r="W483" s="228" t="s">
        <v>22</v>
      </c>
      <c r="X483" s="228" t="s">
        <v>111</v>
      </c>
      <c r="Y483" s="230">
        <f>IFERROR(IF(R483="Probabilidad",(J483-(+J483*U483)),IF(R483="Impacto",J483,"")),"")</f>
        <v>0.4</v>
      </c>
      <c r="Z483" s="231" t="str">
        <f>IFERROR(IF(Y483="","",IF(Y483&lt;=0.2,"Muy Baja",IF(Y483&lt;=0.4,"Baja",IF(Y483&lt;=0.6,"Media",IF(Y483&lt;=0.8,"Alta","Muy Alta"))))),"")</f>
        <v>Baja</v>
      </c>
      <c r="AA483" s="232">
        <f>+Y483</f>
        <v>0.4</v>
      </c>
      <c r="AB483" s="231" t="str">
        <f>IFERROR(IF(AC483="","",IF(AC483&lt;=0.2,"Leve",IF(AC483&lt;=0.4,"Menor",IF(AC483&lt;=0.6,"Moderado",IF(AC483&lt;=0.8,"Mayor","Catastrófico"))))),"")</f>
        <v>Moderado</v>
      </c>
      <c r="AC483" s="232">
        <f>IFERROR(IF(R483="Impacto",(N483-(+N483*U483)),IF(R483="Probabilidad",N483,"")),"")</f>
        <v>0.44999999999999996</v>
      </c>
      <c r="AD483" s="233" t="str">
        <f>IFERROR(IF(OR(AND(Z483="Muy Baja",AB483="Leve"),AND(Z483="Muy Baja",AB483="Menor"),AND(Z483="Baja",AB483="Leve")),"Bajo",IF(OR(AND(Z483="Muy baja",AB483="Moderado"),AND(Z483="Baja",AB483="Menor"),AND(Z483="Baja",AB483="Moderado"),AND(Z483="Media",AB483="Leve"),AND(Z483="Media",AB483="Menor"),AND(Z483="Media",AB483="Moderado"),AND(Z483="Alta",AB483="Leve"),AND(Z483="Alta",AB483="Menor")),"Moderado",IF(OR(AND(Z483="Muy Baja",AB483="Mayor"),AND(Z483="Baja",AB483="Mayor"),AND(Z483="Media",AB483="Mayor"),AND(Z483="Alta",AB483="Moderado"),AND(Z483="Alta",AB483="Mayor"),AND(Z483="Muy Alta",AB483="Leve"),AND(Z483="Muy Alta",AB483="Menor"),AND(Z483="Muy Alta",AB483="Moderado"),AND(Z483="Muy Alta",AB483="Mayor")),"Alto",IF(OR(AND(Z483="Muy Baja",AB483="Catastrófico"),AND(Z483="Baja",AB483="Catastrófico"),AND(Z483="Media",AB483="Catastrófico"),AND(Z483="Alta",AB483="Catastrófico"),AND(Z483="Muy Alta",AB483="Catastrófico")),"Extremo","")))),"")</f>
        <v>Moderado</v>
      </c>
      <c r="AE483" s="234" t="s">
        <v>257</v>
      </c>
      <c r="AF483" s="235" t="s">
        <v>1194</v>
      </c>
      <c r="AG483" s="236" t="s">
        <v>1195</v>
      </c>
      <c r="AH483" s="236" t="s">
        <v>1196</v>
      </c>
      <c r="AI483" s="236" t="s">
        <v>1197</v>
      </c>
      <c r="AJ483" s="236" t="s">
        <v>1198</v>
      </c>
      <c r="AK483" s="237">
        <v>44676</v>
      </c>
      <c r="AL483" s="237">
        <v>44925</v>
      </c>
      <c r="AM483" s="350">
        <v>4073</v>
      </c>
      <c r="AN483" s="344"/>
    </row>
    <row r="484" spans="1:40" ht="67.5" customHeight="1">
      <c r="A484" s="342"/>
      <c r="B484" s="345"/>
      <c r="C484" s="345"/>
      <c r="D484" s="345"/>
      <c r="E484" s="345"/>
      <c r="F484" s="348"/>
      <c r="G484" s="345"/>
      <c r="H484" s="351"/>
      <c r="I484" s="354"/>
      <c r="J484" s="357"/>
      <c r="K484" s="360"/>
      <c r="L484" s="357">
        <f ca="1">IF(NOT(ISERROR(MATCH(K484,_xlfn.ANCHORARRAY(F495),0))),J497&amp;"Por favor no seleccionar los criterios de impacto",K484)</f>
        <v>0</v>
      </c>
      <c r="M484" s="354"/>
      <c r="N484" s="357"/>
      <c r="O484" s="363"/>
      <c r="P484" s="226">
        <v>2</v>
      </c>
      <c r="Q484" s="224" t="s">
        <v>1199</v>
      </c>
      <c r="R484" s="227" t="str">
        <f t="shared" si="165"/>
        <v>Impacto</v>
      </c>
      <c r="S484" s="228" t="s">
        <v>16</v>
      </c>
      <c r="T484" s="228" t="s">
        <v>9</v>
      </c>
      <c r="U484" s="229" t="str">
        <f t="shared" ref="U484:U494" si="180">IF(AND(S484="Preventivo",T484="Automático"),"50%",IF(AND(S484="Preventivo",T484="Manual"),"40%",IF(AND(S484="Detectivo",T484="Automático"),"40%",IF(AND(S484="Detectivo",T484="Manual"),"30%",IF(AND(S484="Correctivo",T484="Automático"),"35%",IF(AND(S484="Correctivo",T484="Manual"),"25%",""))))))</f>
        <v>25%</v>
      </c>
      <c r="V484" s="228" t="s">
        <v>19</v>
      </c>
      <c r="W484" s="228" t="s">
        <v>22</v>
      </c>
      <c r="X484" s="228" t="s">
        <v>111</v>
      </c>
      <c r="Y484" s="230">
        <f>IFERROR(IF(AND(R483="Probabilidad",R484="Probabilidad"),(AA483-(+AA483*U484)),IF(R484="Probabilidad",(J483-(+J483*U484)),IF(R484="Impacto",AA483,""))),"")</f>
        <v>0.4</v>
      </c>
      <c r="Z484" s="231" t="str">
        <f t="shared" ref="Z484:Z494" si="181">IFERROR(IF(Y484="","",IF(Y484&lt;=0.2,"Muy Baja",IF(Y484&lt;=0.4,"Baja",IF(Y484&lt;=0.6,"Media",IF(Y484&lt;=0.8,"Alta","Muy Alta"))))),"")</f>
        <v>Baja</v>
      </c>
      <c r="AA484" s="232">
        <f t="shared" ref="AA484:AA494" si="182">+Y484</f>
        <v>0.4</v>
      </c>
      <c r="AB484" s="231" t="str">
        <f t="shared" ref="AB484:AB494" si="183">IFERROR(IF(AC484="","",IF(AC484&lt;=0.2,"Leve",IF(AC484&lt;=0.4,"Menor",IF(AC484&lt;=0.6,"Moderado",IF(AC484&lt;=0.8,"Mayor","Catastrófico"))))),"")</f>
        <v>Menor</v>
      </c>
      <c r="AC484" s="232">
        <f>IFERROR(IF(AND(R483="Impacto",R484="Impacto"),(AC483-(+AC483*U484)),IF(R484="Impacto",(N483-(+N483*U484)),IF(R484="Probabilidad",AC483,""))),"")</f>
        <v>0.33749999999999997</v>
      </c>
      <c r="AD484" s="233" t="str">
        <f t="shared" ref="AD484:AD485" si="184">IFERROR(IF(OR(AND(Z484="Muy Baja",AB484="Leve"),AND(Z484="Muy Baja",AB484="Menor"),AND(Z484="Baja",AB484="Leve")),"Bajo",IF(OR(AND(Z484="Muy baja",AB484="Moderado"),AND(Z484="Baja",AB484="Menor"),AND(Z484="Baja",AB484="Moderado"),AND(Z484="Media",AB484="Leve"),AND(Z484="Media",AB484="Menor"),AND(Z484="Media",AB484="Moderado"),AND(Z484="Alta",AB484="Leve"),AND(Z484="Alta",AB484="Menor")),"Moderado",IF(OR(AND(Z484="Muy Baja",AB484="Mayor"),AND(Z484="Baja",AB484="Mayor"),AND(Z484="Media",AB484="Mayor"),AND(Z484="Alta",AB484="Moderado"),AND(Z484="Alta",AB484="Mayor"),AND(Z484="Muy Alta",AB484="Leve"),AND(Z484="Muy Alta",AB484="Menor"),AND(Z484="Muy Alta",AB484="Moderado"),AND(Z484="Muy Alta",AB484="Mayor")),"Alto",IF(OR(AND(Z484="Muy Baja",AB484="Catastrófico"),AND(Z484="Baja",AB484="Catastrófico"),AND(Z484="Media",AB484="Catastrófico"),AND(Z484="Alta",AB484="Catastrófico"),AND(Z484="Muy Alta",AB484="Catastrófico")),"Extremo","")))),"")</f>
        <v>Moderado</v>
      </c>
      <c r="AE484" s="234" t="s">
        <v>257</v>
      </c>
      <c r="AF484" s="235" t="s">
        <v>1200</v>
      </c>
      <c r="AG484" s="236" t="s">
        <v>1195</v>
      </c>
      <c r="AH484" s="236" t="s">
        <v>1196</v>
      </c>
      <c r="AI484" s="236" t="s">
        <v>1197</v>
      </c>
      <c r="AJ484" s="236" t="s">
        <v>1198</v>
      </c>
      <c r="AK484" s="237">
        <v>44676</v>
      </c>
      <c r="AL484" s="237">
        <v>44925</v>
      </c>
      <c r="AM484" s="351"/>
      <c r="AN484" s="351"/>
    </row>
    <row r="485" spans="1:40" ht="67.5">
      <c r="A485" s="342"/>
      <c r="B485" s="345"/>
      <c r="C485" s="345"/>
      <c r="D485" s="345"/>
      <c r="E485" s="345"/>
      <c r="F485" s="348"/>
      <c r="G485" s="345"/>
      <c r="H485" s="351"/>
      <c r="I485" s="354"/>
      <c r="J485" s="357"/>
      <c r="K485" s="360"/>
      <c r="L485" s="357">
        <f ca="1">IF(NOT(ISERROR(MATCH(K485,_xlfn.ANCHORARRAY(F496),0))),J498&amp;"Por favor no seleccionar los criterios de impacto",K485)</f>
        <v>0</v>
      </c>
      <c r="M485" s="354"/>
      <c r="N485" s="357"/>
      <c r="O485" s="363"/>
      <c r="P485" s="226">
        <v>3</v>
      </c>
      <c r="Q485" s="224" t="s">
        <v>1201</v>
      </c>
      <c r="R485" s="227" t="str">
        <f t="shared" si="165"/>
        <v>Impacto</v>
      </c>
      <c r="S485" s="228" t="s">
        <v>16</v>
      </c>
      <c r="T485" s="228" t="s">
        <v>9</v>
      </c>
      <c r="U485" s="229" t="str">
        <f t="shared" si="180"/>
        <v>25%</v>
      </c>
      <c r="V485" s="228" t="s">
        <v>20</v>
      </c>
      <c r="W485" s="228" t="s">
        <v>22</v>
      </c>
      <c r="X485" s="228" t="s">
        <v>111</v>
      </c>
      <c r="Y485" s="230">
        <f>IFERROR(IF(AND(R484="Probabilidad",R485="Probabilidad"),(AA484-(+AA484*U485)),IF(AND(R484="Impacto",R485="Probabilidad"),(AA483-(+AA483*U485)),IF(R485="Impacto",AA484,""))),"")</f>
        <v>0.4</v>
      </c>
      <c r="Z485" s="231" t="str">
        <f t="shared" si="181"/>
        <v>Baja</v>
      </c>
      <c r="AA485" s="232">
        <f t="shared" si="182"/>
        <v>0.4</v>
      </c>
      <c r="AB485" s="231" t="str">
        <f t="shared" si="183"/>
        <v>Menor</v>
      </c>
      <c r="AC485" s="232">
        <f>IFERROR(IF(AND(R484="Impacto",R485="Impacto"),(AC484-(+AC484*U485)),IF(AND(R484="Probabilidad",R485="Impacto"),(AC483-(+AC483*U485)),IF(R485="Probabilidad",AC484,""))),"")</f>
        <v>0.25312499999999999</v>
      </c>
      <c r="AD485" s="233" t="str">
        <f t="shared" si="184"/>
        <v>Moderado</v>
      </c>
      <c r="AE485" s="234" t="s">
        <v>257</v>
      </c>
      <c r="AF485" s="235" t="s">
        <v>1202</v>
      </c>
      <c r="AG485" s="236" t="s">
        <v>1195</v>
      </c>
      <c r="AH485" s="236" t="s">
        <v>1196</v>
      </c>
      <c r="AI485" s="236" t="s">
        <v>1197</v>
      </c>
      <c r="AJ485" s="236" t="s">
        <v>1198</v>
      </c>
      <c r="AK485" s="237">
        <v>44676</v>
      </c>
      <c r="AL485" s="237">
        <v>44925</v>
      </c>
      <c r="AM485" s="351"/>
      <c r="AN485" s="351"/>
    </row>
    <row r="486" spans="1:40" ht="55.5" customHeight="1">
      <c r="A486" s="342"/>
      <c r="B486" s="345"/>
      <c r="C486" s="345"/>
      <c r="D486" s="345"/>
      <c r="E486" s="345"/>
      <c r="F486" s="348"/>
      <c r="G486" s="345"/>
      <c r="H486" s="351"/>
      <c r="I486" s="354"/>
      <c r="J486" s="357"/>
      <c r="K486" s="360"/>
      <c r="L486" s="357">
        <f ca="1">IF(NOT(ISERROR(MATCH(K486,_xlfn.ANCHORARRAY(F497),0))),J499&amp;"Por favor no seleccionar los criterios de impacto",K486)</f>
        <v>0</v>
      </c>
      <c r="M486" s="354"/>
      <c r="N486" s="357"/>
      <c r="O486" s="363"/>
      <c r="P486" s="226">
        <v>4</v>
      </c>
      <c r="Q486" s="224" t="s">
        <v>1203</v>
      </c>
      <c r="R486" s="227" t="str">
        <f t="shared" si="165"/>
        <v>Impacto</v>
      </c>
      <c r="S486" s="228" t="s">
        <v>16</v>
      </c>
      <c r="T486" s="228" t="s">
        <v>9</v>
      </c>
      <c r="U486" s="229" t="str">
        <f t="shared" si="180"/>
        <v>25%</v>
      </c>
      <c r="V486" s="228" t="s">
        <v>20</v>
      </c>
      <c r="W486" s="228" t="s">
        <v>22</v>
      </c>
      <c r="X486" s="228" t="s">
        <v>111</v>
      </c>
      <c r="Y486" s="230">
        <f>IFERROR(IF(AND(R485="Probabilidad",R486="Probabilidad"),(AA485-(+AA485*U486)),IF(AND(R485="Impacto",R486="Probabilidad"),(AA484-(+AA484*U486)),IF(R486="Impacto",AA485,""))),"")</f>
        <v>0.4</v>
      </c>
      <c r="Z486" s="231" t="str">
        <f t="shared" si="181"/>
        <v>Baja</v>
      </c>
      <c r="AA486" s="232">
        <f t="shared" si="182"/>
        <v>0.4</v>
      </c>
      <c r="AB486" s="231" t="str">
        <f t="shared" si="183"/>
        <v>Leve</v>
      </c>
      <c r="AC486" s="232">
        <f t="shared" ref="AC486:AC488" si="185">IFERROR(IF(AND(R485="Impacto",R486="Impacto"),(AC485-(+AC485*U486)),IF(AND(R485="Probabilidad",R486="Impacto"),(AC484-(+AC484*U486)),IF(R486="Probabilidad",AC485,""))),"")</f>
        <v>0.18984374999999998</v>
      </c>
      <c r="AD486" s="233" t="str">
        <f>IFERROR(IF(OR(AND(Z486="Muy Baja",AB486="Leve"),AND(Z486="Muy Baja",AB486="Menor"),AND(Z486="Baja",AB486="Leve")),"Bajo",IF(OR(AND(Z486="Muy baja",AB486="Moderado"),AND(Z486="Baja",AB486="Menor"),AND(Z486="Baja",AB486="Moderado"),AND(Z486="Media",AB486="Leve"),AND(Z486="Media",AB486="Menor"),AND(Z486="Media",AB486="Moderado"),AND(Z486="Alta",AB486="Leve"),AND(Z486="Alta",AB486="Menor")),"Moderado",IF(OR(AND(Z486="Muy Baja",AB486="Mayor"),AND(Z486="Baja",AB486="Mayor"),AND(Z486="Media",AB486="Mayor"),AND(Z486="Alta",AB486="Moderado"),AND(Z486="Alta",AB486="Mayor"),AND(Z486="Muy Alta",AB486="Leve"),AND(Z486="Muy Alta",AB486="Menor"),AND(Z486="Muy Alta",AB486="Moderado"),AND(Z486="Muy Alta",AB486="Mayor")),"Alto",IF(OR(AND(Z486="Muy Baja",AB486="Catastrófico"),AND(Z486="Baja",AB486="Catastrófico"),AND(Z486="Media",AB486="Catastrófico"),AND(Z486="Alta",AB486="Catastrófico"),AND(Z486="Muy Alta",AB486="Catastrófico")),"Extremo","")))),"")</f>
        <v>Bajo</v>
      </c>
      <c r="AE486" s="234" t="s">
        <v>31</v>
      </c>
      <c r="AF486" s="235"/>
      <c r="AG486" s="236"/>
      <c r="AH486" s="236"/>
      <c r="AI486" s="236"/>
      <c r="AJ486" s="237"/>
      <c r="AK486" s="237"/>
      <c r="AL486" s="237"/>
      <c r="AM486" s="351"/>
      <c r="AN486" s="351"/>
    </row>
    <row r="487" spans="1:40">
      <c r="A487" s="342"/>
      <c r="B487" s="345"/>
      <c r="C487" s="345"/>
      <c r="D487" s="345"/>
      <c r="E487" s="345"/>
      <c r="F487" s="348"/>
      <c r="G487" s="345"/>
      <c r="H487" s="351"/>
      <c r="I487" s="354"/>
      <c r="J487" s="357"/>
      <c r="K487" s="360"/>
      <c r="L487" s="357"/>
      <c r="M487" s="354"/>
      <c r="N487" s="357"/>
      <c r="O487" s="363"/>
      <c r="P487" s="226">
        <v>5</v>
      </c>
      <c r="Q487" s="224"/>
      <c r="R487" s="227" t="str">
        <f t="shared" si="165"/>
        <v/>
      </c>
      <c r="S487" s="228"/>
      <c r="T487" s="228"/>
      <c r="U487" s="229" t="str">
        <f t="shared" si="180"/>
        <v/>
      </c>
      <c r="V487" s="228"/>
      <c r="W487" s="228"/>
      <c r="X487" s="228"/>
      <c r="Y487" s="230" t="str">
        <f t="shared" ref="Y487:Y488" si="186">IFERROR(IF(AND(R486="Probabilidad",R487="Probabilidad"),(AA486-(+AA486*U487)),IF(AND(R486="Impacto",R487="Probabilidad"),(AA485-(+AA485*U487)),IF(R487="Impacto",AA486,""))),"")</f>
        <v/>
      </c>
      <c r="Z487" s="231" t="str">
        <f t="shared" si="181"/>
        <v/>
      </c>
      <c r="AA487" s="232" t="str">
        <f t="shared" si="182"/>
        <v/>
      </c>
      <c r="AB487" s="231" t="str">
        <f t="shared" si="183"/>
        <v/>
      </c>
      <c r="AC487" s="232" t="str">
        <f t="shared" si="185"/>
        <v/>
      </c>
      <c r="AD487" s="233" t="str">
        <f t="shared" ref="AD487:AD494" si="187">IFERROR(IF(OR(AND(Z487="Muy Baja",AB487="Leve"),AND(Z487="Muy Baja",AB487="Menor"),AND(Z487="Baja",AB487="Leve")),"Bajo",IF(OR(AND(Z487="Muy baja",AB487="Moderado"),AND(Z487="Baja",AB487="Menor"),AND(Z487="Baja",AB487="Moderado"),AND(Z487="Media",AB487="Leve"),AND(Z487="Media",AB487="Menor"),AND(Z487="Media",AB487="Moderado"),AND(Z487="Alta",AB487="Leve"),AND(Z487="Alta",AB487="Menor")),"Moderado",IF(OR(AND(Z487="Muy Baja",AB487="Mayor"),AND(Z487="Baja",AB487="Mayor"),AND(Z487="Media",AB487="Mayor"),AND(Z487="Alta",AB487="Moderado"),AND(Z487="Alta",AB487="Mayor"),AND(Z487="Muy Alta",AB487="Leve"),AND(Z487="Muy Alta",AB487="Menor"),AND(Z487="Muy Alta",AB487="Moderado"),AND(Z487="Muy Alta",AB487="Mayor")),"Alto",IF(OR(AND(Z487="Muy Baja",AB487="Catastrófico"),AND(Z487="Baja",AB487="Catastrófico"),AND(Z487="Media",AB487="Catastrófico"),AND(Z487="Alta",AB487="Catastrófico"),AND(Z487="Muy Alta",AB487="Catastrófico")),"Extremo","")))),"")</f>
        <v/>
      </c>
      <c r="AE487" s="234"/>
      <c r="AF487" s="235"/>
      <c r="AG487" s="236"/>
      <c r="AH487" s="236"/>
      <c r="AI487" s="236"/>
      <c r="AJ487" s="237"/>
      <c r="AK487" s="237"/>
      <c r="AL487" s="237"/>
      <c r="AM487" s="351"/>
      <c r="AN487" s="351"/>
    </row>
    <row r="488" spans="1:40">
      <c r="A488" s="342"/>
      <c r="B488" s="345"/>
      <c r="C488" s="345"/>
      <c r="D488" s="345"/>
      <c r="E488" s="345"/>
      <c r="F488" s="348"/>
      <c r="G488" s="345"/>
      <c r="H488" s="351"/>
      <c r="I488" s="354"/>
      <c r="J488" s="357"/>
      <c r="K488" s="360"/>
      <c r="L488" s="357"/>
      <c r="M488" s="354"/>
      <c r="N488" s="357"/>
      <c r="O488" s="363"/>
      <c r="P488" s="226">
        <v>6</v>
      </c>
      <c r="Q488" s="224"/>
      <c r="R488" s="227" t="str">
        <f t="shared" si="165"/>
        <v/>
      </c>
      <c r="S488" s="228"/>
      <c r="T488" s="228"/>
      <c r="U488" s="229" t="str">
        <f t="shared" si="180"/>
        <v/>
      </c>
      <c r="V488" s="228"/>
      <c r="W488" s="228"/>
      <c r="X488" s="228"/>
      <c r="Y488" s="230" t="str">
        <f t="shared" si="186"/>
        <v/>
      </c>
      <c r="Z488" s="231" t="str">
        <f t="shared" si="181"/>
        <v/>
      </c>
      <c r="AA488" s="232" t="str">
        <f t="shared" si="182"/>
        <v/>
      </c>
      <c r="AB488" s="231" t="str">
        <f t="shared" si="183"/>
        <v/>
      </c>
      <c r="AC488" s="232" t="str">
        <f t="shared" si="185"/>
        <v/>
      </c>
      <c r="AD488" s="233" t="str">
        <f t="shared" si="187"/>
        <v/>
      </c>
      <c r="AE488" s="234"/>
      <c r="AF488" s="235"/>
      <c r="AG488" s="236"/>
      <c r="AH488" s="236"/>
      <c r="AI488" s="236"/>
      <c r="AJ488" s="237"/>
      <c r="AK488" s="237"/>
      <c r="AL488" s="237"/>
      <c r="AM488" s="351"/>
      <c r="AN488" s="351"/>
    </row>
    <row r="489" spans="1:40" ht="81">
      <c r="A489" s="342">
        <v>80</v>
      </c>
      <c r="B489" s="344" t="s">
        <v>212</v>
      </c>
      <c r="C489" s="344" t="s">
        <v>123</v>
      </c>
      <c r="D489" s="344" t="s">
        <v>1204</v>
      </c>
      <c r="E489" s="344" t="s">
        <v>1205</v>
      </c>
      <c r="F489" s="347" t="s">
        <v>1206</v>
      </c>
      <c r="G489" s="344" t="s">
        <v>115</v>
      </c>
      <c r="H489" s="350">
        <v>40</v>
      </c>
      <c r="I489" s="353" t="str">
        <f>IF(H489&lt;=0,"",IF(H489&lt;=2,"Muy Baja",IF(H489&lt;=24,"Baja",IF(H489&lt;=500,"Media",IF(H489&lt;=5000,"Alta","Muy Alta")))))</f>
        <v>Media</v>
      </c>
      <c r="J489" s="356">
        <f>IF(I489="","",IF(I489="Muy Baja",0.2,IF(I489="Baja",0.4,IF(I489="Media",0.6,IF(I489="Alta",0.8,IF(I489="Muy Alta",1,))))))</f>
        <v>0.6</v>
      </c>
      <c r="K489" s="359" t="s">
        <v>142</v>
      </c>
      <c r="L489" s="356" t="str">
        <f>IF(NOT(ISERROR(MATCH(K489,'[10]Tabla Impacto'!$B$221:$B$223,0))),'[10]Tabla Impacto'!$F$223&amp;"Por favor no seleccionar los criterios de impacto(Afectación Económica o presupuestal y Pérdida Reputacional)",K489)</f>
        <v xml:space="preserve">     El riesgo afecta la imagen de la entidad con algunos usuarios de relevancia frente al logro de los objetivos</v>
      </c>
      <c r="M489" s="353" t="str">
        <f>IF(OR(L489='[10]Tabla Impacto'!$C$11,L489='[10]Tabla Impacto'!$D$11),"Leve",IF(OR(L489='[10]Tabla Impacto'!$C$12,L489='[10]Tabla Impacto'!$D$12),"Menor",IF(OR(L489='[10]Tabla Impacto'!$C$13,L489='[10]Tabla Impacto'!$D$13),"Moderado",IF(OR(L489='[10]Tabla Impacto'!$C$14,L489='[10]Tabla Impacto'!$D$14),"Mayor",IF(OR(L489='[10]Tabla Impacto'!$C$15,L489='[10]Tabla Impacto'!$D$15),"Catastrófico","")))))</f>
        <v>Moderado</v>
      </c>
      <c r="N489" s="356">
        <f>IF(M489="","",IF(M489="Leve",0.2,IF(M489="Menor",0.4,IF(M489="Moderado",0.6,IF(M489="Mayor",0.8,IF(M489="Catastrófico",1,))))))</f>
        <v>0.6</v>
      </c>
      <c r="O489" s="362" t="str">
        <f>IF(OR(AND(I489="Muy Baja",M489="Leve"),AND(I489="Muy Baja",M489="Menor"),AND(I489="Baja",M489="Leve")),"Bajo",IF(OR(AND(I489="Muy baja",M489="Moderado"),AND(I489="Baja",M489="Menor"),AND(I489="Baja",M489="Moderado"),AND(I489="Media",M489="Leve"),AND(I489="Media",M489="Menor"),AND(I489="Media",M489="Moderado"),AND(I489="Alta",M489="Leve"),AND(I489="Alta",M489="Menor")),"Moderado",IF(OR(AND(I489="Muy Baja",M489="Mayor"),AND(I489="Baja",M489="Mayor"),AND(I489="Media",M489="Mayor"),AND(I489="Alta",M489="Moderado"),AND(I489="Alta",M489="Mayor"),AND(I489="Muy Alta",M489="Leve"),AND(I489="Muy Alta",M489="Menor"),AND(I489="Muy Alta",M489="Moderado"),AND(I489="Muy Alta",M489="Mayor")),"Alto",IF(OR(AND(I489="Muy Baja",M489="Catastrófico"),AND(I489="Baja",M489="Catastrófico"),AND(I489="Media",M489="Catastrófico"),AND(I489="Alta",M489="Catastrófico"),AND(I489="Muy Alta",M489="Catastrófico")),"Extremo",""))))</f>
        <v>Moderado</v>
      </c>
      <c r="P489" s="226">
        <v>1</v>
      </c>
      <c r="Q489" s="224" t="s">
        <v>1207</v>
      </c>
      <c r="R489" s="227" t="str">
        <f t="shared" si="165"/>
        <v>Impacto</v>
      </c>
      <c r="S489" s="228" t="s">
        <v>16</v>
      </c>
      <c r="T489" s="228" t="s">
        <v>9</v>
      </c>
      <c r="U489" s="229" t="str">
        <f t="shared" si="180"/>
        <v>25%</v>
      </c>
      <c r="V489" s="228" t="s">
        <v>19</v>
      </c>
      <c r="W489" s="228" t="s">
        <v>22</v>
      </c>
      <c r="X489" s="228" t="s">
        <v>111</v>
      </c>
      <c r="Y489" s="230">
        <f t="shared" ref="Y489" si="188">IFERROR(IF(R489="Probabilidad",(J489-(+J489*U489)),IF(R489="Impacto",J489,"")),"")</f>
        <v>0.6</v>
      </c>
      <c r="Z489" s="231" t="str">
        <f t="shared" si="181"/>
        <v>Media</v>
      </c>
      <c r="AA489" s="232">
        <f t="shared" si="182"/>
        <v>0.6</v>
      </c>
      <c r="AB489" s="231" t="str">
        <f t="shared" si="183"/>
        <v>Moderado</v>
      </c>
      <c r="AC489" s="232">
        <f t="shared" ref="AC489" si="189">IFERROR(IF(R489="Impacto",(N489-(+N489*U489)),IF(R489="Probabilidad",N489,"")),"")</f>
        <v>0.44999999999999996</v>
      </c>
      <c r="AD489" s="233" t="str">
        <f t="shared" si="187"/>
        <v>Moderado</v>
      </c>
      <c r="AE489" s="234" t="s">
        <v>257</v>
      </c>
      <c r="AF489" s="235" t="s">
        <v>1208</v>
      </c>
      <c r="AG489" s="236" t="s">
        <v>1209</v>
      </c>
      <c r="AH489" s="236" t="s">
        <v>1210</v>
      </c>
      <c r="AI489" s="236" t="s">
        <v>1211</v>
      </c>
      <c r="AJ489" s="236" t="s">
        <v>1198</v>
      </c>
      <c r="AK489" s="237">
        <v>44676</v>
      </c>
      <c r="AL489" s="237">
        <v>44925</v>
      </c>
      <c r="AM489" s="350">
        <v>4077</v>
      </c>
      <c r="AN489" s="344" t="s">
        <v>1212</v>
      </c>
    </row>
    <row r="490" spans="1:40" ht="94.5">
      <c r="A490" s="342"/>
      <c r="B490" s="345"/>
      <c r="C490" s="345"/>
      <c r="D490" s="345"/>
      <c r="E490" s="345"/>
      <c r="F490" s="348"/>
      <c r="G490" s="345"/>
      <c r="H490" s="351"/>
      <c r="I490" s="354"/>
      <c r="J490" s="357"/>
      <c r="K490" s="360"/>
      <c r="L490" s="357">
        <f ca="1">IF(NOT(ISERROR(MATCH(K490,_xlfn.ANCHORARRAY(F510),0))),J512&amp;"Por favor no seleccionar los criterios de impacto",K490)</f>
        <v>0</v>
      </c>
      <c r="M490" s="354"/>
      <c r="N490" s="357"/>
      <c r="O490" s="363"/>
      <c r="P490" s="226">
        <v>2</v>
      </c>
      <c r="Q490" s="224" t="s">
        <v>1213</v>
      </c>
      <c r="R490" s="227" t="str">
        <f t="shared" si="165"/>
        <v>Impacto</v>
      </c>
      <c r="S490" s="228" t="s">
        <v>16</v>
      </c>
      <c r="T490" s="228" t="s">
        <v>9</v>
      </c>
      <c r="U490" s="229" t="str">
        <f t="shared" si="180"/>
        <v>25%</v>
      </c>
      <c r="V490" s="228" t="s">
        <v>19</v>
      </c>
      <c r="W490" s="228" t="s">
        <v>22</v>
      </c>
      <c r="X490" s="228" t="s">
        <v>111</v>
      </c>
      <c r="Y490" s="230">
        <f t="shared" ref="Y490" si="190">IFERROR(IF(AND(R489="Probabilidad",R490="Probabilidad"),(AA489-(+AA489*U490)),IF(R490="Probabilidad",(J489-(+J489*U490)),IF(R490="Impacto",AA489,""))),"")</f>
        <v>0.6</v>
      </c>
      <c r="Z490" s="231" t="str">
        <f t="shared" si="181"/>
        <v>Media</v>
      </c>
      <c r="AA490" s="232">
        <f t="shared" si="182"/>
        <v>0.6</v>
      </c>
      <c r="AB490" s="231" t="str">
        <f t="shared" si="183"/>
        <v>Menor</v>
      </c>
      <c r="AC490" s="232">
        <f t="shared" ref="AC490" si="191">IFERROR(IF(AND(R489="Impacto",R490="Impacto"),(AC489-(+AC489*U490)),IF(R490="Impacto",(N489-(+N489*U490)),IF(R490="Probabilidad",AC489,""))),"")</f>
        <v>0.33749999999999997</v>
      </c>
      <c r="AD490" s="233" t="str">
        <f t="shared" si="187"/>
        <v>Moderado</v>
      </c>
      <c r="AE490" s="234" t="s">
        <v>257</v>
      </c>
      <c r="AF490" s="235" t="s">
        <v>1214</v>
      </c>
      <c r="AG490" s="236" t="s">
        <v>1209</v>
      </c>
      <c r="AH490" s="236" t="s">
        <v>1210</v>
      </c>
      <c r="AI490" s="236" t="s">
        <v>1211</v>
      </c>
      <c r="AJ490" s="236" t="s">
        <v>1198</v>
      </c>
      <c r="AK490" s="237">
        <v>44676</v>
      </c>
      <c r="AL490" s="237">
        <v>44925</v>
      </c>
      <c r="AM490" s="351"/>
      <c r="AN490" s="351"/>
    </row>
    <row r="491" spans="1:40" ht="55.5" customHeight="1">
      <c r="A491" s="342"/>
      <c r="B491" s="345"/>
      <c r="C491" s="345"/>
      <c r="D491" s="345"/>
      <c r="E491" s="345"/>
      <c r="F491" s="348"/>
      <c r="G491" s="345"/>
      <c r="H491" s="351"/>
      <c r="I491" s="354"/>
      <c r="J491" s="357"/>
      <c r="K491" s="360"/>
      <c r="L491" s="357">
        <f ca="1">IF(NOT(ISERROR(MATCH(K491,_xlfn.ANCHORARRAY(F511),0))),J513&amp;"Por favor no seleccionar los criterios de impacto",K491)</f>
        <v>0</v>
      </c>
      <c r="M491" s="354"/>
      <c r="N491" s="357"/>
      <c r="O491" s="363"/>
      <c r="P491" s="226">
        <v>3</v>
      </c>
      <c r="Q491" s="224" t="s">
        <v>1215</v>
      </c>
      <c r="R491" s="227" t="str">
        <f t="shared" si="165"/>
        <v>Probabilidad</v>
      </c>
      <c r="S491" s="228" t="s">
        <v>14</v>
      </c>
      <c r="T491" s="228" t="s">
        <v>9</v>
      </c>
      <c r="U491" s="229" t="str">
        <f t="shared" si="180"/>
        <v>40%</v>
      </c>
      <c r="V491" s="228" t="s">
        <v>20</v>
      </c>
      <c r="W491" s="228" t="s">
        <v>22</v>
      </c>
      <c r="X491" s="228" t="s">
        <v>111</v>
      </c>
      <c r="Y491" s="230">
        <f t="shared" ref="Y491:Y494" si="192">IFERROR(IF(AND(R490="Probabilidad",R491="Probabilidad"),(AA490-(+AA490*U491)),IF(AND(R490="Impacto",R491="Probabilidad"),(AA489-(+AA489*U491)),IF(R491="Impacto",AA490,""))),"")</f>
        <v>0.36</v>
      </c>
      <c r="Z491" s="231" t="str">
        <f t="shared" si="181"/>
        <v>Baja</v>
      </c>
      <c r="AA491" s="232">
        <f t="shared" si="182"/>
        <v>0.36</v>
      </c>
      <c r="AB491" s="231" t="str">
        <f t="shared" si="183"/>
        <v>Menor</v>
      </c>
      <c r="AC491" s="232">
        <f t="shared" ref="AC491:AC494" si="193">IFERROR(IF(AND(R490="Impacto",R491="Impacto"),(AC490-(+AC490*U491)),IF(AND(R490="Probabilidad",R491="Impacto"),(AC489-(+AC489*U491)),IF(R491="Probabilidad",AC490,""))),"")</f>
        <v>0.33749999999999997</v>
      </c>
      <c r="AD491" s="233" t="str">
        <f t="shared" si="187"/>
        <v>Moderado</v>
      </c>
      <c r="AE491" s="234" t="s">
        <v>257</v>
      </c>
      <c r="AF491" s="235" t="s">
        <v>1216</v>
      </c>
      <c r="AG491" s="236" t="s">
        <v>1209</v>
      </c>
      <c r="AH491" s="236" t="s">
        <v>1210</v>
      </c>
      <c r="AI491" s="236" t="s">
        <v>1211</v>
      </c>
      <c r="AJ491" s="236" t="s">
        <v>1198</v>
      </c>
      <c r="AK491" s="237">
        <v>44676</v>
      </c>
      <c r="AL491" s="237">
        <v>44925</v>
      </c>
      <c r="AM491" s="351"/>
      <c r="AN491" s="351"/>
    </row>
    <row r="492" spans="1:40" ht="54">
      <c r="A492" s="342"/>
      <c r="B492" s="345"/>
      <c r="C492" s="345"/>
      <c r="D492" s="345"/>
      <c r="E492" s="345"/>
      <c r="F492" s="348"/>
      <c r="G492" s="345"/>
      <c r="H492" s="351"/>
      <c r="I492" s="354"/>
      <c r="J492" s="357"/>
      <c r="K492" s="360"/>
      <c r="L492" s="357">
        <f ca="1">IF(NOT(ISERROR(MATCH(K492,_xlfn.ANCHORARRAY(F512),0))),J514&amp;"Por favor no seleccionar los criterios de impacto",K492)</f>
        <v>0</v>
      </c>
      <c r="M492" s="354"/>
      <c r="N492" s="357"/>
      <c r="O492" s="363"/>
      <c r="P492" s="226">
        <v>4</v>
      </c>
      <c r="Q492" s="224" t="s">
        <v>1217</v>
      </c>
      <c r="R492" s="227" t="str">
        <f t="shared" si="165"/>
        <v>Impacto</v>
      </c>
      <c r="S492" s="228" t="s">
        <v>16</v>
      </c>
      <c r="T492" s="228" t="s">
        <v>9</v>
      </c>
      <c r="U492" s="229" t="str">
        <f t="shared" si="180"/>
        <v>25%</v>
      </c>
      <c r="V492" s="228" t="s">
        <v>19</v>
      </c>
      <c r="W492" s="228" t="s">
        <v>22</v>
      </c>
      <c r="X492" s="228" t="s">
        <v>111</v>
      </c>
      <c r="Y492" s="230">
        <f t="shared" si="192"/>
        <v>0.36</v>
      </c>
      <c r="Z492" s="231" t="str">
        <f t="shared" si="181"/>
        <v>Baja</v>
      </c>
      <c r="AA492" s="232">
        <f t="shared" si="182"/>
        <v>0.36</v>
      </c>
      <c r="AB492" s="231" t="str">
        <f t="shared" si="183"/>
        <v>Menor</v>
      </c>
      <c r="AC492" s="232">
        <f t="shared" si="193"/>
        <v>0.25312499999999999</v>
      </c>
      <c r="AD492" s="233" t="str">
        <f t="shared" si="187"/>
        <v>Moderado</v>
      </c>
      <c r="AE492" s="234" t="s">
        <v>257</v>
      </c>
      <c r="AF492" s="235"/>
      <c r="AG492" s="236"/>
      <c r="AH492" s="236"/>
      <c r="AI492" s="236"/>
      <c r="AJ492" s="236"/>
      <c r="AK492" s="237"/>
      <c r="AL492" s="237"/>
      <c r="AM492" s="351"/>
      <c r="AN492" s="351"/>
    </row>
    <row r="493" spans="1:40" ht="67.5">
      <c r="A493" s="342"/>
      <c r="B493" s="345"/>
      <c r="C493" s="345"/>
      <c r="D493" s="345"/>
      <c r="E493" s="345"/>
      <c r="F493" s="348"/>
      <c r="G493" s="345"/>
      <c r="H493" s="351"/>
      <c r="I493" s="354"/>
      <c r="J493" s="357"/>
      <c r="K493" s="360"/>
      <c r="L493" s="357">
        <f ca="1">IF(NOT(ISERROR(MATCH(K493,_xlfn.ANCHORARRAY(F513),0))),J524&amp;"Por favor no seleccionar los criterios de impacto",K493)</f>
        <v>0</v>
      </c>
      <c r="M493" s="354"/>
      <c r="N493" s="357"/>
      <c r="O493" s="363"/>
      <c r="P493" s="226">
        <v>5</v>
      </c>
      <c r="Q493" s="224" t="s">
        <v>1218</v>
      </c>
      <c r="R493" s="227" t="str">
        <f t="shared" si="165"/>
        <v>Impacto</v>
      </c>
      <c r="S493" s="228" t="s">
        <v>16</v>
      </c>
      <c r="T493" s="228" t="s">
        <v>9</v>
      </c>
      <c r="U493" s="229" t="str">
        <f t="shared" si="180"/>
        <v>25%</v>
      </c>
      <c r="V493" s="228" t="s">
        <v>19</v>
      </c>
      <c r="W493" s="228" t="s">
        <v>22</v>
      </c>
      <c r="X493" s="228" t="s">
        <v>111</v>
      </c>
      <c r="Y493" s="230">
        <f t="shared" si="192"/>
        <v>0.36</v>
      </c>
      <c r="Z493" s="231" t="str">
        <f t="shared" si="181"/>
        <v>Baja</v>
      </c>
      <c r="AA493" s="232">
        <f t="shared" si="182"/>
        <v>0.36</v>
      </c>
      <c r="AB493" s="231" t="str">
        <f t="shared" si="183"/>
        <v>Leve</v>
      </c>
      <c r="AC493" s="232">
        <f t="shared" si="193"/>
        <v>0.18984374999999998</v>
      </c>
      <c r="AD493" s="233" t="str">
        <f t="shared" si="187"/>
        <v>Bajo</v>
      </c>
      <c r="AE493" s="234" t="s">
        <v>31</v>
      </c>
      <c r="AF493" s="235"/>
      <c r="AG493" s="236"/>
      <c r="AH493" s="236"/>
      <c r="AI493" s="236"/>
      <c r="AJ493" s="236"/>
      <c r="AK493" s="237"/>
      <c r="AL493" s="237"/>
      <c r="AM493" s="351"/>
      <c r="AN493" s="351"/>
    </row>
    <row r="494" spans="1:40">
      <c r="A494" s="342"/>
      <c r="B494" s="345"/>
      <c r="C494" s="345"/>
      <c r="D494" s="345"/>
      <c r="E494" s="345"/>
      <c r="F494" s="348"/>
      <c r="G494" s="345"/>
      <c r="H494" s="351"/>
      <c r="I494" s="354"/>
      <c r="J494" s="357"/>
      <c r="K494" s="360"/>
      <c r="L494" s="357"/>
      <c r="M494" s="354"/>
      <c r="N494" s="357"/>
      <c r="O494" s="363"/>
      <c r="P494" s="226">
        <v>6</v>
      </c>
      <c r="Q494" s="224"/>
      <c r="R494" s="227" t="str">
        <f t="shared" si="165"/>
        <v/>
      </c>
      <c r="S494" s="228"/>
      <c r="T494" s="228"/>
      <c r="U494" s="229" t="str">
        <f t="shared" si="180"/>
        <v/>
      </c>
      <c r="V494" s="228"/>
      <c r="W494" s="228"/>
      <c r="X494" s="228"/>
      <c r="Y494" s="230" t="str">
        <f t="shared" si="192"/>
        <v/>
      </c>
      <c r="Z494" s="231" t="str">
        <f t="shared" si="181"/>
        <v/>
      </c>
      <c r="AA494" s="232" t="str">
        <f t="shared" si="182"/>
        <v/>
      </c>
      <c r="AB494" s="231" t="str">
        <f t="shared" si="183"/>
        <v/>
      </c>
      <c r="AC494" s="232" t="str">
        <f t="shared" si="193"/>
        <v/>
      </c>
      <c r="AD494" s="233" t="str">
        <f t="shared" si="187"/>
        <v/>
      </c>
      <c r="AE494" s="234"/>
      <c r="AF494" s="235"/>
      <c r="AG494" s="236"/>
      <c r="AH494" s="236"/>
      <c r="AI494" s="236"/>
      <c r="AJ494" s="236"/>
      <c r="AK494" s="237"/>
      <c r="AL494" s="237"/>
      <c r="AM494" s="351"/>
      <c r="AN494" s="351"/>
    </row>
    <row r="495" spans="1:40" ht="54">
      <c r="A495" s="342">
        <v>81</v>
      </c>
      <c r="B495" s="344" t="s">
        <v>212</v>
      </c>
      <c r="C495" s="344" t="s">
        <v>123</v>
      </c>
      <c r="D495" s="344" t="s">
        <v>1219</v>
      </c>
      <c r="E495" s="344" t="s">
        <v>1220</v>
      </c>
      <c r="F495" s="347" t="s">
        <v>1221</v>
      </c>
      <c r="G495" s="344" t="s">
        <v>120</v>
      </c>
      <c r="H495" s="350">
        <v>1000</v>
      </c>
      <c r="I495" s="353" t="str">
        <f>IF(H495&lt;=0,"",IF(H495&lt;=2,"Muy Baja",IF(H495&lt;=24,"Baja",IF(H495&lt;=500,"Media",IF(H495&lt;=5000,"Alta","Muy Alta")))))</f>
        <v>Alta</v>
      </c>
      <c r="J495" s="356">
        <f>IF(I495="","",IF(I495="Muy Baja",0.2,IF(I495="Baja",0.4,IF(I495="Media",0.6,IF(I495="Alta",0.8,IF(I495="Muy Alta",1,))))))</f>
        <v>0.8</v>
      </c>
      <c r="K495" s="359" t="s">
        <v>143</v>
      </c>
      <c r="L495" s="356" t="str">
        <f>IF(NOT(ISERROR(MATCH(K495,'[11]Tabla Impacto'!$B$221:$B$223,0))),'[11]Tabla Impacto'!$F$223&amp;"Por favor no seleccionar los criterios de impacto(Afectación Económica o presupuestal y Pérdida Reputacional)",K495)</f>
        <v xml:space="preserve">     El riesgo afecta la imagen de de la entidad con efecto publicitario sostenido a nivel de sector administrativo, nivel departamental o municipal</v>
      </c>
      <c r="M495" s="353" t="str">
        <f>IF(OR(L495='[11]Tabla Impacto'!$C$11,L495='[11]Tabla Impacto'!$D$11),"Leve",IF(OR(L495='[11]Tabla Impacto'!$C$12,L495='[11]Tabla Impacto'!$D$12),"Menor",IF(OR(L495='[11]Tabla Impacto'!$C$13,L495='[11]Tabla Impacto'!$D$13),"Moderado",IF(OR(L495='[11]Tabla Impacto'!$C$14,L495='[11]Tabla Impacto'!$D$14),"Mayor",IF(OR(L495='[11]Tabla Impacto'!$C$15,L495='[11]Tabla Impacto'!$D$15),"Catastrófico","")))))</f>
        <v>Mayor</v>
      </c>
      <c r="N495" s="356">
        <f>IF(M495="","",IF(M495="Leve",0.2,IF(M495="Menor",0.4,IF(M495="Moderado",0.6,IF(M495="Mayor",0.8,IF(M495="Catastrófico",1,))))))</f>
        <v>0.8</v>
      </c>
      <c r="O495" s="362" t="str">
        <f>IF(OR(AND(I495="Muy Baja",M495="Leve"),AND(I495="Muy Baja",M495="Menor"),AND(I495="Baja",M495="Leve")),"Bajo",IF(OR(AND(I495="Muy baja",M495="Moderado"),AND(I495="Baja",M495="Menor"),AND(I495="Baja",M495="Moderado"),AND(I495="Media",M495="Leve"),AND(I495="Media",M495="Menor"),AND(I495="Media",M495="Moderado"),AND(I495="Alta",M495="Leve"),AND(I495="Alta",M495="Menor")),"Moderado",IF(OR(AND(I495="Muy Baja",M495="Mayor"),AND(I495="Baja",M495="Mayor"),AND(I495="Media",M495="Mayor"),AND(I495="Alta",M495="Moderado"),AND(I495="Alta",M495="Mayor"),AND(I495="Muy Alta",M495="Leve"),AND(I495="Muy Alta",M495="Menor"),AND(I495="Muy Alta",M495="Moderado"),AND(I495="Muy Alta",M495="Mayor")),"Alto",IF(OR(AND(I495="Muy Baja",M495="Catastrófico"),AND(I495="Baja",M495="Catastrófico"),AND(I495="Media",M495="Catastrófico"),AND(I495="Alta",M495="Catastrófico"),AND(I495="Muy Alta",M495="Catastrófico")),"Extremo",""))))</f>
        <v>Alto</v>
      </c>
      <c r="P495" s="226">
        <v>1</v>
      </c>
      <c r="Q495" s="224" t="s">
        <v>1222</v>
      </c>
      <c r="R495" s="227" t="str">
        <f t="shared" si="165"/>
        <v>Probabilidad</v>
      </c>
      <c r="S495" s="228" t="s">
        <v>14</v>
      </c>
      <c r="T495" s="228" t="s">
        <v>9</v>
      </c>
      <c r="U495" s="229" t="str">
        <f>IF(AND(S495="Preventivo",T495="Automático"),"50%",IF(AND(S495="Preventivo",T495="Manual"),"40%",IF(AND(S495="Detectivo",T495="Automático"),"40%",IF(AND(S495="Detectivo",T495="Manual"),"30%",IF(AND(S495="Correctivo",T495="Automático"),"35%",IF(AND(S495="Correctivo",T495="Manual"),"25%",""))))))</f>
        <v>40%</v>
      </c>
      <c r="V495" s="228" t="s">
        <v>19</v>
      </c>
      <c r="W495" s="228" t="s">
        <v>22</v>
      </c>
      <c r="X495" s="228" t="s">
        <v>111</v>
      </c>
      <c r="Y495" s="230">
        <f>IFERROR(IF(R495="Probabilidad",(J495-(+J495*U495)),IF(R495="Impacto",J495,"")),"")</f>
        <v>0.48</v>
      </c>
      <c r="Z495" s="231" t="str">
        <f>IFERROR(IF(Y495="","",IF(Y495&lt;=0.2,"Muy Baja",IF(Y495&lt;=0.4,"Baja",IF(Y495&lt;=0.6,"Media",IF(Y495&lt;=0.8,"Alta","Muy Alta"))))),"")</f>
        <v>Media</v>
      </c>
      <c r="AA495" s="232">
        <f>+Y495</f>
        <v>0.48</v>
      </c>
      <c r="AB495" s="231" t="str">
        <f>IFERROR(IF(AC495="","",IF(AC495&lt;=0.2,"Leve",IF(AC495&lt;=0.4,"Menor",IF(AC495&lt;=0.6,"Moderado",IF(AC495&lt;=0.8,"Mayor","Catastrófico"))))),"")</f>
        <v>Mayor</v>
      </c>
      <c r="AC495" s="232">
        <f>IFERROR(IF(R495="Impacto",(N495-(+N495*U495)),IF(R495="Probabilidad",N495,"")),"")</f>
        <v>0.8</v>
      </c>
      <c r="AD495" s="233" t="str">
        <f>IFERROR(IF(OR(AND(Z495="Muy Baja",AB495="Leve"),AND(Z495="Muy Baja",AB495="Menor"),AND(Z495="Baja",AB495="Leve")),"Bajo",IF(OR(AND(Z495="Muy baja",AB495="Moderado"),AND(Z495="Baja",AB495="Menor"),AND(Z495="Baja",AB495="Moderado"),AND(Z495="Media",AB495="Leve"),AND(Z495="Media",AB495="Menor"),AND(Z495="Media",AB495="Moderado"),AND(Z495="Alta",AB495="Leve"),AND(Z495="Alta",AB495="Menor")),"Moderado",IF(OR(AND(Z495="Muy Baja",AB495="Mayor"),AND(Z495="Baja",AB495="Mayor"),AND(Z495="Media",AB495="Mayor"),AND(Z495="Alta",AB495="Moderado"),AND(Z495="Alta",AB495="Mayor"),AND(Z495="Muy Alta",AB495="Leve"),AND(Z495="Muy Alta",AB495="Menor"),AND(Z495="Muy Alta",AB495="Moderado"),AND(Z495="Muy Alta",AB495="Mayor")),"Alto",IF(OR(AND(Z495="Muy Baja",AB495="Catastrófico"),AND(Z495="Baja",AB495="Catastrófico"),AND(Z495="Media",AB495="Catastrófico"),AND(Z495="Alta",AB495="Catastrófico"),AND(Z495="Muy Alta",AB495="Catastrófico")),"Extremo","")))),"")</f>
        <v>Alto</v>
      </c>
      <c r="AE495" s="234" t="s">
        <v>257</v>
      </c>
      <c r="AF495" s="235" t="s">
        <v>1223</v>
      </c>
      <c r="AG495" s="171" t="s">
        <v>1224</v>
      </c>
      <c r="AH495" s="236" t="s">
        <v>1225</v>
      </c>
      <c r="AI495" s="236" t="s">
        <v>1226</v>
      </c>
      <c r="AJ495" s="236" t="s">
        <v>1227</v>
      </c>
      <c r="AK495" s="237">
        <v>44679</v>
      </c>
      <c r="AL495" s="237">
        <v>44926</v>
      </c>
      <c r="AM495" s="350">
        <v>4066</v>
      </c>
      <c r="AN495" s="350"/>
    </row>
    <row r="496" spans="1:40" ht="54">
      <c r="A496" s="342"/>
      <c r="B496" s="345"/>
      <c r="C496" s="345"/>
      <c r="D496" s="345"/>
      <c r="E496" s="345"/>
      <c r="F496" s="348"/>
      <c r="G496" s="345"/>
      <c r="H496" s="351"/>
      <c r="I496" s="354"/>
      <c r="J496" s="357"/>
      <c r="K496" s="360"/>
      <c r="L496" s="357">
        <f ca="1">IF(NOT(ISERROR(MATCH(K496,_xlfn.ANCHORARRAY(F508),0))),J510&amp;"Por favor no seleccionar los criterios de impacto",K496)</f>
        <v>0</v>
      </c>
      <c r="M496" s="354"/>
      <c r="N496" s="357"/>
      <c r="O496" s="363"/>
      <c r="P496" s="226">
        <v>2</v>
      </c>
      <c r="Q496" s="224" t="s">
        <v>1228</v>
      </c>
      <c r="R496" s="227" t="str">
        <f t="shared" si="165"/>
        <v>Impacto</v>
      </c>
      <c r="S496" s="228" t="s">
        <v>16</v>
      </c>
      <c r="T496" s="228" t="s">
        <v>9</v>
      </c>
      <c r="U496" s="229" t="str">
        <f t="shared" ref="U496:U507" si="194">IF(AND(S496="Preventivo",T496="Automático"),"50%",IF(AND(S496="Preventivo",T496="Manual"),"40%",IF(AND(S496="Detectivo",T496="Automático"),"40%",IF(AND(S496="Detectivo",T496="Manual"),"30%",IF(AND(S496="Correctivo",T496="Automático"),"35%",IF(AND(S496="Correctivo",T496="Manual"),"25%",""))))))</f>
        <v>25%</v>
      </c>
      <c r="V496" s="228" t="s">
        <v>19</v>
      </c>
      <c r="W496" s="228" t="s">
        <v>23</v>
      </c>
      <c r="X496" s="228" t="s">
        <v>111</v>
      </c>
      <c r="Y496" s="230">
        <f>IFERROR(IF(AND(R495="Probabilidad",R496="Probabilidad"),(AA495-(+AA495*U496)),IF(R496="Probabilidad",(J495-(+J495*U496)),IF(R496="Impacto",AA495,""))),"")</f>
        <v>0.48</v>
      </c>
      <c r="Z496" s="231" t="str">
        <f t="shared" ref="Z496:Z507" si="195">IFERROR(IF(Y496="","",IF(Y496&lt;=0.2,"Muy Baja",IF(Y496&lt;=0.4,"Baja",IF(Y496&lt;=0.6,"Media",IF(Y496&lt;=0.8,"Alta","Muy Alta"))))),"")</f>
        <v>Media</v>
      </c>
      <c r="AA496" s="232">
        <f t="shared" ref="AA496:AA507" si="196">+Y496</f>
        <v>0.48</v>
      </c>
      <c r="AB496" s="231" t="str">
        <f t="shared" ref="AB496:AB507" si="197">IFERROR(IF(AC496="","",IF(AC496&lt;=0.2,"Leve",IF(AC496&lt;=0.4,"Menor",IF(AC496&lt;=0.6,"Moderado",IF(AC496&lt;=0.8,"Mayor","Catastrófico"))))),"")</f>
        <v>Moderado</v>
      </c>
      <c r="AC496" s="232">
        <f>IFERROR(IF(AND(R495="Impacto",R496="Impacto"),(AC495-(+AC495*U496)),IF(R496="Impacto",(N495-(+N495*U496)),IF(R496="Probabilidad",AC495,""))),"")</f>
        <v>0.60000000000000009</v>
      </c>
      <c r="AD496" s="233" t="str">
        <f t="shared" ref="AD496:AD497" si="198">IFERROR(IF(OR(AND(Z496="Muy Baja",AB496="Leve"),AND(Z496="Muy Baja",AB496="Menor"),AND(Z496="Baja",AB496="Leve")),"Bajo",IF(OR(AND(Z496="Muy baja",AB496="Moderado"),AND(Z496="Baja",AB496="Menor"),AND(Z496="Baja",AB496="Moderado"),AND(Z496="Media",AB496="Leve"),AND(Z496="Media",AB496="Menor"),AND(Z496="Media",AB496="Moderado"),AND(Z496="Alta",AB496="Leve"),AND(Z496="Alta",AB496="Menor")),"Moderado",IF(OR(AND(Z496="Muy Baja",AB496="Mayor"),AND(Z496="Baja",AB496="Mayor"),AND(Z496="Media",AB496="Mayor"),AND(Z496="Alta",AB496="Moderado"),AND(Z496="Alta",AB496="Mayor"),AND(Z496="Muy Alta",AB496="Leve"),AND(Z496="Muy Alta",AB496="Menor"),AND(Z496="Muy Alta",AB496="Moderado"),AND(Z496="Muy Alta",AB496="Mayor")),"Alto",IF(OR(AND(Z496="Muy Baja",AB496="Catastrófico"),AND(Z496="Baja",AB496="Catastrófico"),AND(Z496="Media",AB496="Catastrófico"),AND(Z496="Alta",AB496="Catastrófico"),AND(Z496="Muy Alta",AB496="Catastrófico")),"Extremo","")))),"")</f>
        <v>Moderado</v>
      </c>
      <c r="AE496" s="234" t="s">
        <v>257</v>
      </c>
      <c r="AF496" s="209" t="s">
        <v>1229</v>
      </c>
      <c r="AG496" s="171" t="s">
        <v>1230</v>
      </c>
      <c r="AH496" s="236" t="s">
        <v>1231</v>
      </c>
      <c r="AI496" s="236" t="s">
        <v>1226</v>
      </c>
      <c r="AJ496" s="236" t="s">
        <v>1232</v>
      </c>
      <c r="AK496" s="237">
        <v>44679</v>
      </c>
      <c r="AL496" s="237">
        <v>44926</v>
      </c>
      <c r="AM496" s="351"/>
      <c r="AN496" s="351"/>
    </row>
    <row r="497" spans="1:40" ht="81">
      <c r="A497" s="342"/>
      <c r="B497" s="345"/>
      <c r="C497" s="345"/>
      <c r="D497" s="345"/>
      <c r="E497" s="345"/>
      <c r="F497" s="348"/>
      <c r="G497" s="345"/>
      <c r="H497" s="351"/>
      <c r="I497" s="354"/>
      <c r="J497" s="357"/>
      <c r="K497" s="360"/>
      <c r="L497" s="357">
        <f ca="1">IF(NOT(ISERROR(MATCH(K497,_xlfn.ANCHORARRAY(F509),0))),J511&amp;"Por favor no seleccionar los criterios de impacto",K497)</f>
        <v>0</v>
      </c>
      <c r="M497" s="354"/>
      <c r="N497" s="357"/>
      <c r="O497" s="363"/>
      <c r="P497" s="226">
        <v>3</v>
      </c>
      <c r="Q497" s="224" t="s">
        <v>1233</v>
      </c>
      <c r="R497" s="227" t="str">
        <f t="shared" si="165"/>
        <v>Probabilidad</v>
      </c>
      <c r="S497" s="228" t="s">
        <v>14</v>
      </c>
      <c r="T497" s="228" t="s">
        <v>9</v>
      </c>
      <c r="U497" s="229" t="str">
        <f t="shared" si="194"/>
        <v>40%</v>
      </c>
      <c r="V497" s="228" t="s">
        <v>19</v>
      </c>
      <c r="W497" s="228" t="s">
        <v>22</v>
      </c>
      <c r="X497" s="228" t="s">
        <v>111</v>
      </c>
      <c r="Y497" s="230">
        <f>IFERROR(IF(AND(R496="Probabilidad",R497="Probabilidad"),(AA496-(+AA496*U497)),IF(AND(R496="Impacto",R497="Probabilidad"),(AA495-(+AA495*U497)),IF(R497="Impacto",AA496,""))),"")</f>
        <v>0.28799999999999998</v>
      </c>
      <c r="Z497" s="231" t="str">
        <f t="shared" si="195"/>
        <v>Baja</v>
      </c>
      <c r="AA497" s="232">
        <f t="shared" si="196"/>
        <v>0.28799999999999998</v>
      </c>
      <c r="AB497" s="231" t="str">
        <f t="shared" si="197"/>
        <v>Moderado</v>
      </c>
      <c r="AC497" s="232">
        <f>IFERROR(IF(AND(R496="Impacto",R497="Impacto"),(AC496-(+AC496*U497)),IF(AND(R496="Probabilidad",R497="Impacto"),(AC495-(+AC495*U497)),IF(R497="Probabilidad",AC496,""))),"")</f>
        <v>0.60000000000000009</v>
      </c>
      <c r="AD497" s="233" t="str">
        <f t="shared" si="198"/>
        <v>Moderado</v>
      </c>
      <c r="AE497" s="234" t="s">
        <v>257</v>
      </c>
      <c r="AF497" s="235"/>
      <c r="AG497" s="236"/>
      <c r="AH497" s="236"/>
      <c r="AI497" s="236"/>
      <c r="AJ497" s="237"/>
      <c r="AK497" s="237"/>
      <c r="AL497" s="237"/>
      <c r="AM497" s="351"/>
      <c r="AN497" s="351"/>
    </row>
    <row r="498" spans="1:40" ht="67.5">
      <c r="A498" s="342"/>
      <c r="B498" s="345"/>
      <c r="C498" s="345"/>
      <c r="D498" s="345"/>
      <c r="E498" s="345"/>
      <c r="F498" s="348"/>
      <c r="G498" s="345"/>
      <c r="H498" s="351"/>
      <c r="I498" s="354"/>
      <c r="J498" s="357"/>
      <c r="K498" s="360"/>
      <c r="L498" s="357">
        <f ca="1">IF(NOT(ISERROR(MATCH(K498,_xlfn.ANCHORARRAY(F510),0))),J512&amp;"Por favor no seleccionar los criterios de impacto",K498)</f>
        <v>0</v>
      </c>
      <c r="M498" s="354"/>
      <c r="N498" s="357"/>
      <c r="O498" s="363"/>
      <c r="P498" s="226">
        <v>4</v>
      </c>
      <c r="Q498" s="224" t="s">
        <v>1234</v>
      </c>
      <c r="R498" s="227" t="str">
        <f t="shared" si="165"/>
        <v>Impacto</v>
      </c>
      <c r="S498" s="228" t="s">
        <v>16</v>
      </c>
      <c r="T498" s="228" t="s">
        <v>9</v>
      </c>
      <c r="U498" s="229" t="str">
        <f t="shared" si="194"/>
        <v>25%</v>
      </c>
      <c r="V498" s="228" t="s">
        <v>19</v>
      </c>
      <c r="W498" s="228" t="s">
        <v>22</v>
      </c>
      <c r="X498" s="228" t="s">
        <v>111</v>
      </c>
      <c r="Y498" s="230">
        <f>IFERROR(IF(AND(R497="Probabilidad",R498="Probabilidad"),(AA497-(+AA497*U498)),IF(AND(R497="Impacto",R498="Probabilidad"),(AA496-(+AA496*U498)),IF(R498="Impacto",AA497,""))),"")</f>
        <v>0.28799999999999998</v>
      </c>
      <c r="Z498" s="231" t="str">
        <f t="shared" si="195"/>
        <v>Baja</v>
      </c>
      <c r="AA498" s="232">
        <f t="shared" si="196"/>
        <v>0.28799999999999998</v>
      </c>
      <c r="AB498" s="231" t="str">
        <f t="shared" si="197"/>
        <v>Moderado</v>
      </c>
      <c r="AC498" s="232">
        <f t="shared" ref="AC498:AC500" si="199">IFERROR(IF(AND(R497="Impacto",R498="Impacto"),(AC497-(+AC497*U498)),IF(AND(R497="Probabilidad",R498="Impacto"),(AC496-(+AC496*U498)),IF(R498="Probabilidad",AC497,""))),"")</f>
        <v>0.45000000000000007</v>
      </c>
      <c r="AD498" s="233" t="str">
        <f>IFERROR(IF(OR(AND(Z498="Muy Baja",AB498="Leve"),AND(Z498="Muy Baja",AB498="Menor"),AND(Z498="Baja",AB498="Leve")),"Bajo",IF(OR(AND(Z498="Muy baja",AB498="Moderado"),AND(Z498="Baja",AB498="Menor"),AND(Z498="Baja",AB498="Moderado"),AND(Z498="Media",AB498="Leve"),AND(Z498="Media",AB498="Menor"),AND(Z498="Media",AB498="Moderado"),AND(Z498="Alta",AB498="Leve"),AND(Z498="Alta",AB498="Menor")),"Moderado",IF(OR(AND(Z498="Muy Baja",AB498="Mayor"),AND(Z498="Baja",AB498="Mayor"),AND(Z498="Media",AB498="Mayor"),AND(Z498="Alta",AB498="Moderado"),AND(Z498="Alta",AB498="Mayor"),AND(Z498="Muy Alta",AB498="Leve"),AND(Z498="Muy Alta",AB498="Menor"),AND(Z498="Muy Alta",AB498="Moderado"),AND(Z498="Muy Alta",AB498="Mayor")),"Alto",IF(OR(AND(Z498="Muy Baja",AB498="Catastrófico"),AND(Z498="Baja",AB498="Catastrófico"),AND(Z498="Media",AB498="Catastrófico"),AND(Z498="Alta",AB498="Catastrófico"),AND(Z498="Muy Alta",AB498="Catastrófico")),"Extremo","")))),"")</f>
        <v>Moderado</v>
      </c>
      <c r="AE498" s="234" t="s">
        <v>257</v>
      </c>
      <c r="AF498" s="235"/>
      <c r="AG498" s="236"/>
      <c r="AH498" s="236"/>
      <c r="AI498" s="236"/>
      <c r="AJ498" s="237"/>
      <c r="AK498" s="237"/>
      <c r="AL498" s="237"/>
      <c r="AM498" s="351"/>
      <c r="AN498" s="351"/>
    </row>
    <row r="499" spans="1:40" ht="67.5">
      <c r="A499" s="342"/>
      <c r="B499" s="345"/>
      <c r="C499" s="345"/>
      <c r="D499" s="345"/>
      <c r="E499" s="345"/>
      <c r="F499" s="348"/>
      <c r="G499" s="345"/>
      <c r="H499" s="351"/>
      <c r="I499" s="354"/>
      <c r="J499" s="357"/>
      <c r="K499" s="360"/>
      <c r="L499" s="357"/>
      <c r="M499" s="354"/>
      <c r="N499" s="357"/>
      <c r="O499" s="363"/>
      <c r="P499" s="226">
        <v>5</v>
      </c>
      <c r="Q499" s="224" t="s">
        <v>1235</v>
      </c>
      <c r="R499" s="227" t="str">
        <f t="shared" si="165"/>
        <v>Probabilidad</v>
      </c>
      <c r="S499" s="228" t="s">
        <v>14</v>
      </c>
      <c r="T499" s="228" t="s">
        <v>9</v>
      </c>
      <c r="U499" s="229" t="str">
        <f t="shared" si="194"/>
        <v>40%</v>
      </c>
      <c r="V499" s="228" t="s">
        <v>19</v>
      </c>
      <c r="W499" s="228" t="s">
        <v>22</v>
      </c>
      <c r="X499" s="228" t="s">
        <v>111</v>
      </c>
      <c r="Y499" s="230">
        <f t="shared" ref="Y499:Y500" si="200">IFERROR(IF(AND(R498="Probabilidad",R499="Probabilidad"),(AA498-(+AA498*U499)),IF(AND(R498="Impacto",R499="Probabilidad"),(AA497-(+AA497*U499)),IF(R499="Impacto",AA498,""))),"")</f>
        <v>0.17279999999999998</v>
      </c>
      <c r="Z499" s="231" t="str">
        <f t="shared" si="195"/>
        <v>Muy Baja</v>
      </c>
      <c r="AA499" s="232">
        <f t="shared" si="196"/>
        <v>0.17279999999999998</v>
      </c>
      <c r="AB499" s="231" t="str">
        <f t="shared" si="197"/>
        <v>Moderado</v>
      </c>
      <c r="AC499" s="232">
        <f t="shared" si="199"/>
        <v>0.45000000000000007</v>
      </c>
      <c r="AD499" s="233" t="str">
        <f t="shared" ref="AD499:AD507" si="201">IFERROR(IF(OR(AND(Z499="Muy Baja",AB499="Leve"),AND(Z499="Muy Baja",AB499="Menor"),AND(Z499="Baja",AB499="Leve")),"Bajo",IF(OR(AND(Z499="Muy baja",AB499="Moderado"),AND(Z499="Baja",AB499="Menor"),AND(Z499="Baja",AB499="Moderado"),AND(Z499="Media",AB499="Leve"),AND(Z499="Media",AB499="Menor"),AND(Z499="Media",AB499="Moderado"),AND(Z499="Alta",AB499="Leve"),AND(Z499="Alta",AB499="Menor")),"Moderado",IF(OR(AND(Z499="Muy Baja",AB499="Mayor"),AND(Z499="Baja",AB499="Mayor"),AND(Z499="Media",AB499="Mayor"),AND(Z499="Alta",AB499="Moderado"),AND(Z499="Alta",AB499="Mayor"),AND(Z499="Muy Alta",AB499="Leve"),AND(Z499="Muy Alta",AB499="Menor"),AND(Z499="Muy Alta",AB499="Moderado"),AND(Z499="Muy Alta",AB499="Mayor")),"Alto",IF(OR(AND(Z499="Muy Baja",AB499="Catastrófico"),AND(Z499="Baja",AB499="Catastrófico"),AND(Z499="Media",AB499="Catastrófico"),AND(Z499="Alta",AB499="Catastrófico"),AND(Z499="Muy Alta",AB499="Catastrófico")),"Extremo","")))),"")</f>
        <v>Moderado</v>
      </c>
      <c r="AE499" s="234" t="s">
        <v>257</v>
      </c>
      <c r="AF499" s="235"/>
      <c r="AG499" s="236"/>
      <c r="AH499" s="236"/>
      <c r="AI499" s="236"/>
      <c r="AJ499" s="237"/>
      <c r="AK499" s="237"/>
      <c r="AL499" s="237"/>
      <c r="AM499" s="351"/>
      <c r="AN499" s="351"/>
    </row>
    <row r="500" spans="1:40" ht="54">
      <c r="A500" s="342"/>
      <c r="B500" s="345"/>
      <c r="C500" s="345"/>
      <c r="D500" s="345"/>
      <c r="E500" s="345"/>
      <c r="F500" s="348"/>
      <c r="G500" s="345"/>
      <c r="H500" s="351"/>
      <c r="I500" s="354"/>
      <c r="J500" s="357"/>
      <c r="K500" s="360"/>
      <c r="L500" s="357"/>
      <c r="M500" s="354"/>
      <c r="N500" s="357"/>
      <c r="O500" s="363"/>
      <c r="P500" s="226">
        <v>6</v>
      </c>
      <c r="Q500" s="224" t="s">
        <v>1236</v>
      </c>
      <c r="R500" s="227" t="str">
        <f t="shared" si="165"/>
        <v>Impacto</v>
      </c>
      <c r="S500" s="228" t="s">
        <v>16</v>
      </c>
      <c r="T500" s="228" t="s">
        <v>9</v>
      </c>
      <c r="U500" s="229" t="str">
        <f t="shared" si="194"/>
        <v>25%</v>
      </c>
      <c r="V500" s="228" t="s">
        <v>19</v>
      </c>
      <c r="W500" s="228" t="s">
        <v>22</v>
      </c>
      <c r="X500" s="228" t="s">
        <v>111</v>
      </c>
      <c r="Y500" s="230">
        <f t="shared" si="200"/>
        <v>0.17279999999999998</v>
      </c>
      <c r="Z500" s="231" t="str">
        <f t="shared" si="195"/>
        <v>Muy Baja</v>
      </c>
      <c r="AA500" s="232">
        <f t="shared" si="196"/>
        <v>0.17279999999999998</v>
      </c>
      <c r="AB500" s="231" t="str">
        <f t="shared" si="197"/>
        <v>Menor</v>
      </c>
      <c r="AC500" s="232">
        <f t="shared" si="199"/>
        <v>0.33750000000000002</v>
      </c>
      <c r="AD500" s="233" t="str">
        <f t="shared" si="201"/>
        <v>Bajo</v>
      </c>
      <c r="AE500" s="234" t="s">
        <v>31</v>
      </c>
      <c r="AF500" s="235"/>
      <c r="AG500" s="236"/>
      <c r="AH500" s="236"/>
      <c r="AI500" s="236"/>
      <c r="AJ500" s="237"/>
      <c r="AK500" s="237"/>
      <c r="AL500" s="237"/>
      <c r="AM500" s="351"/>
      <c r="AN500" s="351"/>
    </row>
    <row r="501" spans="1:40" ht="60">
      <c r="A501" s="342">
        <v>82</v>
      </c>
      <c r="B501" s="344" t="s">
        <v>212</v>
      </c>
      <c r="C501" s="344" t="s">
        <v>123</v>
      </c>
      <c r="D501" s="344" t="s">
        <v>1237</v>
      </c>
      <c r="E501" s="344" t="s">
        <v>1238</v>
      </c>
      <c r="F501" s="347" t="s">
        <v>1239</v>
      </c>
      <c r="G501" s="344" t="s">
        <v>120</v>
      </c>
      <c r="H501" s="350">
        <v>95000</v>
      </c>
      <c r="I501" s="353" t="str">
        <f>IF(H501&lt;=0,"",IF(H501&lt;=2,"Muy Baja",IF(H501&lt;=24,"Baja",IF(H501&lt;=500,"Media",IF(H501&lt;=5000,"Alta","Muy Alta")))))</f>
        <v>Muy Alta</v>
      </c>
      <c r="J501" s="356">
        <f>IF(I501="","",IF(I501="Muy Baja",0.2,IF(I501="Baja",0.4,IF(I501="Media",0.6,IF(I501="Alta",0.8,IF(I501="Muy Alta",1,))))))</f>
        <v>1</v>
      </c>
      <c r="K501" s="359" t="s">
        <v>143</v>
      </c>
      <c r="L501" s="356" t="str">
        <f>IF(NOT(ISERROR(MATCH(K501,'[11]Tabla Impacto'!$B$221:$B$223,0))),'[11]Tabla Impacto'!$F$223&amp;"Por favor no seleccionar los criterios de impacto(Afectación Económica o presupuestal y Pérdida Reputacional)",K501)</f>
        <v xml:space="preserve">     El riesgo afecta la imagen de de la entidad con efecto publicitario sostenido a nivel de sector administrativo, nivel departamental o municipal</v>
      </c>
      <c r="M501" s="353" t="str">
        <f>IF(OR(L501='[11]Tabla Impacto'!$C$11,L501='[11]Tabla Impacto'!$D$11),"Leve",IF(OR(L501='[11]Tabla Impacto'!$C$12,L501='[11]Tabla Impacto'!$D$12),"Menor",IF(OR(L501='[11]Tabla Impacto'!$C$13,L501='[11]Tabla Impacto'!$D$13),"Moderado",IF(OR(L501='[11]Tabla Impacto'!$C$14,L501='[11]Tabla Impacto'!$D$14),"Mayor",IF(OR(L501='[11]Tabla Impacto'!$C$15,L501='[11]Tabla Impacto'!$D$15),"Catastrófico","")))))</f>
        <v>Mayor</v>
      </c>
      <c r="N501" s="356">
        <f>IF(M501="","",IF(M501="Leve",0.2,IF(M501="Menor",0.4,IF(M501="Moderado",0.6,IF(M501="Mayor",0.8,IF(M501="Catastrófico",1,))))))</f>
        <v>0.8</v>
      </c>
      <c r="O501" s="362" t="str">
        <f>IF(OR(AND(I501="Muy Baja",M501="Leve"),AND(I501="Muy Baja",M501="Menor"),AND(I501="Baja",M501="Leve")),"Bajo",IF(OR(AND(I501="Muy baja",M501="Moderado"),AND(I501="Baja",M501="Menor"),AND(I501="Baja",M501="Moderado"),AND(I501="Media",M501="Leve"),AND(I501="Media",M501="Menor"),AND(I501="Media",M501="Moderado"),AND(I501="Alta",M501="Leve"),AND(I501="Alta",M501="Menor")),"Moderado",IF(OR(AND(I501="Muy Baja",M501="Mayor"),AND(I501="Baja",M501="Mayor"),AND(I501="Media",M501="Mayor"),AND(I501="Alta",M501="Moderado"),AND(I501="Alta",M501="Mayor"),AND(I501="Muy Alta",M501="Leve"),AND(I501="Muy Alta",M501="Menor"),AND(I501="Muy Alta",M501="Moderado"),AND(I501="Muy Alta",M501="Mayor")),"Alto",IF(OR(AND(I501="Muy Baja",M501="Catastrófico"),AND(I501="Baja",M501="Catastrófico"),AND(I501="Media",M501="Catastrófico"),AND(I501="Alta",M501="Catastrófico"),AND(I501="Muy Alta",M501="Catastrófico")),"Extremo",""))))</f>
        <v>Alto</v>
      </c>
      <c r="P501" s="226">
        <v>1</v>
      </c>
      <c r="Q501" s="265" t="s">
        <v>1240</v>
      </c>
      <c r="R501" s="227" t="str">
        <f t="shared" si="165"/>
        <v>Probabilidad</v>
      </c>
      <c r="S501" s="228" t="s">
        <v>14</v>
      </c>
      <c r="T501" s="228" t="s">
        <v>9</v>
      </c>
      <c r="U501" s="229" t="str">
        <f t="shared" si="194"/>
        <v>40%</v>
      </c>
      <c r="V501" s="228" t="s">
        <v>19</v>
      </c>
      <c r="W501" s="228" t="s">
        <v>23</v>
      </c>
      <c r="X501" s="228" t="s">
        <v>111</v>
      </c>
      <c r="Y501" s="230">
        <f t="shared" ref="Y501" si="202">IFERROR(IF(R501="Probabilidad",(J501-(+J501*U501)),IF(R501="Impacto",J501,"")),"")</f>
        <v>0.6</v>
      </c>
      <c r="Z501" s="231" t="str">
        <f t="shared" si="195"/>
        <v>Media</v>
      </c>
      <c r="AA501" s="232">
        <f t="shared" si="196"/>
        <v>0.6</v>
      </c>
      <c r="AB501" s="231" t="str">
        <f t="shared" si="197"/>
        <v>Mayor</v>
      </c>
      <c r="AC501" s="232">
        <f t="shared" ref="AC501" si="203">IFERROR(IF(R501="Impacto",(N501-(+N501*U501)),IF(R501="Probabilidad",N501,"")),"")</f>
        <v>0.8</v>
      </c>
      <c r="AD501" s="233" t="str">
        <f t="shared" si="201"/>
        <v>Alto</v>
      </c>
      <c r="AE501" s="234" t="s">
        <v>257</v>
      </c>
      <c r="AF501" s="235" t="s">
        <v>1241</v>
      </c>
      <c r="AG501" s="236" t="s">
        <v>422</v>
      </c>
      <c r="AH501" s="236" t="s">
        <v>1242</v>
      </c>
      <c r="AI501" s="236" t="s">
        <v>1243</v>
      </c>
      <c r="AJ501" s="236" t="s">
        <v>1227</v>
      </c>
      <c r="AK501" s="237">
        <v>44679</v>
      </c>
      <c r="AL501" s="237">
        <v>44926</v>
      </c>
      <c r="AM501" s="350">
        <v>4067</v>
      </c>
      <c r="AN501" s="350"/>
    </row>
    <row r="502" spans="1:40" ht="90">
      <c r="A502" s="342"/>
      <c r="B502" s="345"/>
      <c r="C502" s="345"/>
      <c r="D502" s="345"/>
      <c r="E502" s="345"/>
      <c r="F502" s="348"/>
      <c r="G502" s="345"/>
      <c r="H502" s="351"/>
      <c r="I502" s="354"/>
      <c r="J502" s="357"/>
      <c r="K502" s="360"/>
      <c r="L502" s="357">
        <f ca="1">IF(NOT(ISERROR(MATCH(K502,_xlfn.ANCHORARRAY(F523),0))),J525&amp;"Por favor no seleccionar los criterios de impacto",K502)</f>
        <v>0</v>
      </c>
      <c r="M502" s="354"/>
      <c r="N502" s="357"/>
      <c r="O502" s="363"/>
      <c r="P502" s="226">
        <v>2</v>
      </c>
      <c r="Q502" s="265" t="s">
        <v>1244</v>
      </c>
      <c r="R502" s="227" t="str">
        <f t="shared" si="165"/>
        <v>Probabilidad</v>
      </c>
      <c r="S502" s="228" t="s">
        <v>15</v>
      </c>
      <c r="T502" s="228" t="s">
        <v>9</v>
      </c>
      <c r="U502" s="229" t="str">
        <f t="shared" si="194"/>
        <v>30%</v>
      </c>
      <c r="V502" s="228" t="s">
        <v>19</v>
      </c>
      <c r="W502" s="228" t="s">
        <v>22</v>
      </c>
      <c r="X502" s="228" t="s">
        <v>111</v>
      </c>
      <c r="Y502" s="230">
        <f t="shared" ref="Y502" si="204">IFERROR(IF(AND(R501="Probabilidad",R502="Probabilidad"),(AA501-(+AA501*U502)),IF(R502="Probabilidad",(J501-(+J501*U502)),IF(R502="Impacto",AA501,""))),"")</f>
        <v>0.42</v>
      </c>
      <c r="Z502" s="231" t="str">
        <f t="shared" si="195"/>
        <v>Media</v>
      </c>
      <c r="AA502" s="232">
        <f t="shared" si="196"/>
        <v>0.42</v>
      </c>
      <c r="AB502" s="231" t="str">
        <f t="shared" si="197"/>
        <v>Mayor</v>
      </c>
      <c r="AC502" s="232">
        <f t="shared" ref="AC502" si="205">IFERROR(IF(AND(R501="Impacto",R502="Impacto"),(AC501-(+AC501*U502)),IF(R502="Impacto",(N501-(+N501*U502)),IF(R502="Probabilidad",AC501,""))),"")</f>
        <v>0.8</v>
      </c>
      <c r="AD502" s="233" t="str">
        <f t="shared" si="201"/>
        <v>Alto</v>
      </c>
      <c r="AE502" s="234" t="s">
        <v>257</v>
      </c>
      <c r="AF502" s="235" t="s">
        <v>1245</v>
      </c>
      <c r="AG502" s="236" t="s">
        <v>422</v>
      </c>
      <c r="AH502" s="236" t="s">
        <v>1242</v>
      </c>
      <c r="AI502" s="236" t="s">
        <v>1243</v>
      </c>
      <c r="AJ502" s="236" t="s">
        <v>1227</v>
      </c>
      <c r="AK502" s="237">
        <v>44679</v>
      </c>
      <c r="AL502" s="237">
        <v>44926</v>
      </c>
      <c r="AM502" s="351"/>
      <c r="AN502" s="351"/>
    </row>
    <row r="503" spans="1:40" ht="123">
      <c r="A503" s="342"/>
      <c r="B503" s="345"/>
      <c r="C503" s="345"/>
      <c r="D503" s="345"/>
      <c r="E503" s="345"/>
      <c r="F503" s="348"/>
      <c r="G503" s="345"/>
      <c r="H503" s="351"/>
      <c r="I503" s="354"/>
      <c r="J503" s="357"/>
      <c r="K503" s="360"/>
      <c r="L503" s="357">
        <f ca="1">IF(NOT(ISERROR(MATCH(K503,_xlfn.ANCHORARRAY(F524),0))),J526&amp;"Por favor no seleccionar los criterios de impacto",K503)</f>
        <v>0</v>
      </c>
      <c r="M503" s="354"/>
      <c r="N503" s="357"/>
      <c r="O503" s="363"/>
      <c r="P503" s="226">
        <v>3</v>
      </c>
      <c r="Q503" s="266" t="s">
        <v>1246</v>
      </c>
      <c r="R503" s="227" t="str">
        <f t="shared" si="165"/>
        <v>Probabilidad</v>
      </c>
      <c r="S503" s="228" t="s">
        <v>14</v>
      </c>
      <c r="T503" s="228" t="s">
        <v>9</v>
      </c>
      <c r="U503" s="229" t="str">
        <f t="shared" si="194"/>
        <v>40%</v>
      </c>
      <c r="V503" s="228" t="s">
        <v>19</v>
      </c>
      <c r="W503" s="228" t="s">
        <v>22</v>
      </c>
      <c r="X503" s="228" t="s">
        <v>111</v>
      </c>
      <c r="Y503" s="230">
        <f t="shared" ref="Y503:Y507" si="206">IFERROR(IF(AND(R502="Probabilidad",R503="Probabilidad"),(AA502-(+AA502*U503)),IF(AND(R502="Impacto",R503="Probabilidad"),(AA501-(+AA501*U503)),IF(R503="Impacto",AA502,""))),"")</f>
        <v>0.252</v>
      </c>
      <c r="Z503" s="231" t="str">
        <f t="shared" si="195"/>
        <v>Baja</v>
      </c>
      <c r="AA503" s="232">
        <f t="shared" si="196"/>
        <v>0.252</v>
      </c>
      <c r="AB503" s="231" t="str">
        <f t="shared" si="197"/>
        <v>Mayor</v>
      </c>
      <c r="AC503" s="232">
        <f t="shared" ref="AC503:AC507" si="207">IFERROR(IF(AND(R502="Impacto",R503="Impacto"),(AC502-(+AC502*U503)),IF(AND(R502="Probabilidad",R503="Impacto"),(AC501-(+AC501*U503)),IF(R503="Probabilidad",AC502,""))),"")</f>
        <v>0.8</v>
      </c>
      <c r="AD503" s="233" t="str">
        <f t="shared" si="201"/>
        <v>Alto</v>
      </c>
      <c r="AE503" s="234" t="s">
        <v>257</v>
      </c>
      <c r="AF503" s="235" t="s">
        <v>1247</v>
      </c>
      <c r="AG503" s="236" t="s">
        <v>422</v>
      </c>
      <c r="AH503" s="236" t="s">
        <v>1242</v>
      </c>
      <c r="AI503" s="236" t="s">
        <v>1243</v>
      </c>
      <c r="AJ503" s="236" t="s">
        <v>1227</v>
      </c>
      <c r="AK503" s="237">
        <v>44679</v>
      </c>
      <c r="AL503" s="237">
        <v>44926</v>
      </c>
      <c r="AM503" s="351"/>
      <c r="AN503" s="351"/>
    </row>
    <row r="504" spans="1:40" ht="108">
      <c r="A504" s="342"/>
      <c r="B504" s="345"/>
      <c r="C504" s="345"/>
      <c r="D504" s="345"/>
      <c r="E504" s="345"/>
      <c r="F504" s="348"/>
      <c r="G504" s="345"/>
      <c r="H504" s="351"/>
      <c r="I504" s="354"/>
      <c r="J504" s="357"/>
      <c r="K504" s="360"/>
      <c r="L504" s="357">
        <f ca="1">IF(NOT(ISERROR(MATCH(K504,_xlfn.ANCHORARRAY(F525),0))),J527&amp;"Por favor no seleccionar los criterios de impacto",K504)</f>
        <v>0</v>
      </c>
      <c r="M504" s="354"/>
      <c r="N504" s="357"/>
      <c r="O504" s="363"/>
      <c r="P504" s="226">
        <v>4</v>
      </c>
      <c r="Q504" s="267" t="s">
        <v>1248</v>
      </c>
      <c r="R504" s="227" t="str">
        <f t="shared" si="165"/>
        <v>Impacto</v>
      </c>
      <c r="S504" s="228" t="s">
        <v>16</v>
      </c>
      <c r="T504" s="228" t="s">
        <v>9</v>
      </c>
      <c r="U504" s="229" t="str">
        <f t="shared" si="194"/>
        <v>25%</v>
      </c>
      <c r="V504" s="228" t="s">
        <v>19</v>
      </c>
      <c r="W504" s="228" t="s">
        <v>22</v>
      </c>
      <c r="X504" s="228" t="s">
        <v>111</v>
      </c>
      <c r="Y504" s="230">
        <f t="shared" si="206"/>
        <v>0.252</v>
      </c>
      <c r="Z504" s="231" t="str">
        <f t="shared" si="195"/>
        <v>Baja</v>
      </c>
      <c r="AA504" s="232">
        <f t="shared" si="196"/>
        <v>0.252</v>
      </c>
      <c r="AB504" s="231" t="str">
        <f t="shared" si="197"/>
        <v>Moderado</v>
      </c>
      <c r="AC504" s="232">
        <f t="shared" si="207"/>
        <v>0.60000000000000009</v>
      </c>
      <c r="AD504" s="233" t="str">
        <f t="shared" si="201"/>
        <v>Moderado</v>
      </c>
      <c r="AE504" s="234" t="s">
        <v>257</v>
      </c>
      <c r="AF504" s="235"/>
      <c r="AG504" s="236"/>
      <c r="AH504" s="236"/>
      <c r="AI504" s="236"/>
      <c r="AJ504" s="236"/>
      <c r="AK504" s="237"/>
      <c r="AL504" s="237"/>
      <c r="AM504" s="351"/>
      <c r="AN504" s="351"/>
    </row>
    <row r="505" spans="1:40" ht="122.25">
      <c r="A505" s="342"/>
      <c r="B505" s="345"/>
      <c r="C505" s="345"/>
      <c r="D505" s="345"/>
      <c r="E505" s="345"/>
      <c r="F505" s="348"/>
      <c r="G505" s="345"/>
      <c r="H505" s="351"/>
      <c r="I505" s="354"/>
      <c r="J505" s="357"/>
      <c r="K505" s="360"/>
      <c r="L505" s="357">
        <f ca="1">IF(NOT(ISERROR(MATCH(K505,_xlfn.ANCHORARRAY(F526),0))),J537&amp;"Por favor no seleccionar los criterios de impacto",K505)</f>
        <v>0</v>
      </c>
      <c r="M505" s="354"/>
      <c r="N505" s="357"/>
      <c r="O505" s="363"/>
      <c r="P505" s="226">
        <v>5</v>
      </c>
      <c r="Q505" s="268" t="s">
        <v>1249</v>
      </c>
      <c r="R505" s="227" t="str">
        <f t="shared" si="165"/>
        <v>Probabilidad</v>
      </c>
      <c r="S505" s="228" t="s">
        <v>15</v>
      </c>
      <c r="T505" s="228" t="s">
        <v>9</v>
      </c>
      <c r="U505" s="229" t="str">
        <f t="shared" si="194"/>
        <v>30%</v>
      </c>
      <c r="V505" s="228" t="s">
        <v>19</v>
      </c>
      <c r="W505" s="228" t="s">
        <v>22</v>
      </c>
      <c r="X505" s="228" t="s">
        <v>111</v>
      </c>
      <c r="Y505" s="230">
        <f t="shared" si="206"/>
        <v>0.1764</v>
      </c>
      <c r="Z505" s="231" t="str">
        <f t="shared" si="195"/>
        <v>Muy Baja</v>
      </c>
      <c r="AA505" s="232">
        <f t="shared" si="196"/>
        <v>0.1764</v>
      </c>
      <c r="AB505" s="231" t="str">
        <f t="shared" si="197"/>
        <v>Moderado</v>
      </c>
      <c r="AC505" s="232">
        <f t="shared" si="207"/>
        <v>0.60000000000000009</v>
      </c>
      <c r="AD505" s="233" t="str">
        <f t="shared" si="201"/>
        <v>Moderado</v>
      </c>
      <c r="AE505" s="234" t="s">
        <v>257</v>
      </c>
      <c r="AF505" s="235"/>
      <c r="AG505" s="236"/>
      <c r="AH505" s="236"/>
      <c r="AI505" s="236"/>
      <c r="AJ505" s="236"/>
      <c r="AK505" s="237"/>
      <c r="AL505" s="237"/>
      <c r="AM505" s="351"/>
      <c r="AN505" s="351"/>
    </row>
    <row r="506" spans="1:40" ht="90">
      <c r="A506" s="342"/>
      <c r="B506" s="345"/>
      <c r="C506" s="345"/>
      <c r="D506" s="345"/>
      <c r="E506" s="345"/>
      <c r="F506" s="348"/>
      <c r="G506" s="345"/>
      <c r="H506" s="351"/>
      <c r="I506" s="354"/>
      <c r="J506" s="357"/>
      <c r="K506" s="360"/>
      <c r="L506" s="357"/>
      <c r="M506" s="354"/>
      <c r="N506" s="357"/>
      <c r="O506" s="363"/>
      <c r="P506" s="226">
        <v>6</v>
      </c>
      <c r="Q506" s="265" t="s">
        <v>1250</v>
      </c>
      <c r="R506" s="227" t="str">
        <f t="shared" si="165"/>
        <v>Probabilidad</v>
      </c>
      <c r="S506" s="228" t="s">
        <v>14</v>
      </c>
      <c r="T506" s="228" t="s">
        <v>9</v>
      </c>
      <c r="U506" s="229" t="str">
        <f t="shared" si="194"/>
        <v>40%</v>
      </c>
      <c r="V506" s="228" t="s">
        <v>19</v>
      </c>
      <c r="W506" s="228" t="s">
        <v>22</v>
      </c>
      <c r="X506" s="228" t="s">
        <v>111</v>
      </c>
      <c r="Y506" s="230">
        <f t="shared" si="206"/>
        <v>0.10584</v>
      </c>
      <c r="Z506" s="231" t="str">
        <f t="shared" si="195"/>
        <v>Muy Baja</v>
      </c>
      <c r="AA506" s="232">
        <f t="shared" si="196"/>
        <v>0.10584</v>
      </c>
      <c r="AB506" s="231" t="str">
        <f t="shared" si="197"/>
        <v>Moderado</v>
      </c>
      <c r="AC506" s="232">
        <f t="shared" si="207"/>
        <v>0.60000000000000009</v>
      </c>
      <c r="AD506" s="233" t="str">
        <f t="shared" si="201"/>
        <v>Moderado</v>
      </c>
      <c r="AE506" s="234" t="s">
        <v>257</v>
      </c>
      <c r="AF506" s="235"/>
      <c r="AG506" s="236"/>
      <c r="AH506" s="236"/>
      <c r="AI506" s="236"/>
      <c r="AJ506" s="236"/>
      <c r="AK506" s="237"/>
      <c r="AL506" s="237"/>
      <c r="AM506" s="351"/>
      <c r="AN506" s="351"/>
    </row>
    <row r="507" spans="1:40" ht="78">
      <c r="A507" s="343"/>
      <c r="B507" s="345"/>
      <c r="C507" s="345"/>
      <c r="D507" s="345"/>
      <c r="E507" s="345"/>
      <c r="F507" s="348"/>
      <c r="G507" s="345"/>
      <c r="H507" s="351"/>
      <c r="I507" s="354"/>
      <c r="J507" s="357"/>
      <c r="K507" s="360"/>
      <c r="L507" s="357"/>
      <c r="M507" s="354"/>
      <c r="N507" s="357"/>
      <c r="O507" s="363"/>
      <c r="P507" s="226">
        <v>7</v>
      </c>
      <c r="Q507" s="269" t="s">
        <v>1251</v>
      </c>
      <c r="R507" s="227" t="str">
        <f t="shared" si="165"/>
        <v>Impacto</v>
      </c>
      <c r="S507" s="228" t="s">
        <v>16</v>
      </c>
      <c r="T507" s="228" t="s">
        <v>10</v>
      </c>
      <c r="U507" s="229" t="str">
        <f t="shared" si="194"/>
        <v>35%</v>
      </c>
      <c r="V507" s="228" t="s">
        <v>19</v>
      </c>
      <c r="W507" s="228" t="s">
        <v>22</v>
      </c>
      <c r="X507" s="228" t="s">
        <v>111</v>
      </c>
      <c r="Y507" s="230">
        <f t="shared" si="206"/>
        <v>0.10584</v>
      </c>
      <c r="Z507" s="231" t="str">
        <f t="shared" si="195"/>
        <v>Muy Baja</v>
      </c>
      <c r="AA507" s="232">
        <f t="shared" si="196"/>
        <v>0.10584</v>
      </c>
      <c r="AB507" s="231" t="str">
        <f t="shared" si="197"/>
        <v>Menor</v>
      </c>
      <c r="AC507" s="232">
        <f t="shared" si="207"/>
        <v>0.39000000000000007</v>
      </c>
      <c r="AD507" s="233" t="str">
        <f t="shared" si="201"/>
        <v>Bajo</v>
      </c>
      <c r="AE507" s="234" t="s">
        <v>31</v>
      </c>
      <c r="AF507" s="235"/>
      <c r="AG507" s="236"/>
      <c r="AH507" s="236"/>
      <c r="AI507" s="236"/>
      <c r="AJ507" s="236"/>
      <c r="AK507" s="237"/>
      <c r="AL507" s="237"/>
      <c r="AM507" s="351"/>
      <c r="AN507" s="351"/>
    </row>
    <row r="508" spans="1:40" ht="229.5">
      <c r="A508" s="341">
        <v>83</v>
      </c>
      <c r="B508" s="344" t="s">
        <v>212</v>
      </c>
      <c r="C508" s="344" t="s">
        <v>123</v>
      </c>
      <c r="D508" s="344" t="s">
        <v>1252</v>
      </c>
      <c r="E508" s="344" t="s">
        <v>1253</v>
      </c>
      <c r="F508" s="347" t="s">
        <v>1254</v>
      </c>
      <c r="G508" s="344" t="s">
        <v>120</v>
      </c>
      <c r="H508" s="350">
        <v>2000</v>
      </c>
      <c r="I508" s="353" t="str">
        <f>IF(H508&lt;=0,"",IF(H508&lt;=2,"Muy Baja",IF(H508&lt;=24,"Baja",IF(H508&lt;=500,"Media",IF(H508&lt;=5000,"Alta","Muy Alta")))))</f>
        <v>Alta</v>
      </c>
      <c r="J508" s="356">
        <f>IF(I508="","",IF(I508="Muy Baja",0.2,IF(I508="Baja",0.4,IF(I508="Media",0.6,IF(I508="Alta",0.8,IF(I508="Muy Alta",1,))))))</f>
        <v>0.8</v>
      </c>
      <c r="K508" s="359" t="s">
        <v>140</v>
      </c>
      <c r="L508" s="356" t="str">
        <f>IF(NOT(ISERROR(MATCH(K508,'[12]Tabla Impacto'!$B$221:$B$223,0))),'[12]Tabla Impacto'!$F$223&amp;"Por favor no seleccionar los criterios de impacto(Afectación Económica o presupuestal y Pérdida Reputacional)",K508)</f>
        <v xml:space="preserve">     El riesgo afecta la imagen de alguna área de la organización</v>
      </c>
      <c r="M508" s="353" t="str">
        <f>IF(OR(L508='[12]Tabla Impacto'!$C$11,L508='[12]Tabla Impacto'!$D$11),"Leve",IF(OR(L508='[12]Tabla Impacto'!$C$12,L508='[12]Tabla Impacto'!$D$12),"Menor",IF(OR(L508='[12]Tabla Impacto'!$C$13,L508='[12]Tabla Impacto'!$D$13),"Moderado",IF(OR(L508='[12]Tabla Impacto'!$C$14,L508='[12]Tabla Impacto'!$D$14),"Mayor",IF(OR(L508='[12]Tabla Impacto'!$C$15,L508='[12]Tabla Impacto'!$D$15),"Catastrófico","")))))</f>
        <v>Leve</v>
      </c>
      <c r="N508" s="356">
        <f>IF(M508="","",IF(M508="Leve",0.2,IF(M508="Menor",0.4,IF(M508="Moderado",0.6,IF(M508="Mayor",0.8,IF(M508="Catastrófico",1,))))))</f>
        <v>0.2</v>
      </c>
      <c r="O508" s="362" t="str">
        <f>IF(OR(AND(I508="Muy Baja",M508="Leve"),AND(I508="Muy Baja",M508="Menor"),AND(I508="Baja",M508="Leve")),"Bajo",IF(OR(AND(I508="Muy baja",M508="Moderado"),AND(I508="Baja",M508="Menor"),AND(I508="Baja",M508="Moderado"),AND(I508="Media",M508="Leve"),AND(I508="Media",M508="Menor"),AND(I508="Media",M508="Moderado"),AND(I508="Alta",M508="Leve"),AND(I508="Alta",M508="Menor")),"Moderado",IF(OR(AND(I508="Muy Baja",M508="Mayor"),AND(I508="Baja",M508="Mayor"),AND(I508="Media",M508="Mayor"),AND(I508="Alta",M508="Moderado"),AND(I508="Alta",M508="Mayor"),AND(I508="Muy Alta",M508="Leve"),AND(I508="Muy Alta",M508="Menor"),AND(I508="Muy Alta",M508="Moderado"),AND(I508="Muy Alta",M508="Mayor")),"Alto",IF(OR(AND(I508="Muy Baja",M508="Catastrófico"),AND(I508="Baja",M508="Catastrófico"),AND(I508="Media",M508="Catastrófico"),AND(I508="Alta",M508="Catastrófico"),AND(I508="Muy Alta",M508="Catastrófico")),"Extremo",""))))</f>
        <v>Moderado</v>
      </c>
      <c r="P508" s="226">
        <v>1</v>
      </c>
      <c r="Q508" s="270" t="s">
        <v>1255</v>
      </c>
      <c r="R508" s="227" t="str">
        <f t="shared" si="165"/>
        <v>Probabilidad</v>
      </c>
      <c r="S508" s="228" t="s">
        <v>14</v>
      </c>
      <c r="T508" s="228" t="s">
        <v>9</v>
      </c>
      <c r="U508" s="229" t="str">
        <f>IF(AND(S508="Preventivo",T508="Automático"),"50%",IF(AND(S508="Preventivo",T508="Manual"),"40%",IF(AND(S508="Detectivo",T508="Automático"),"40%",IF(AND(S508="Detectivo",T508="Manual"),"30%",IF(AND(S508="Correctivo",T508="Automático"),"35%",IF(AND(S508="Correctivo",T508="Manual"),"25%",""))))))</f>
        <v>40%</v>
      </c>
      <c r="V508" s="228" t="s">
        <v>19</v>
      </c>
      <c r="W508" s="228" t="s">
        <v>23</v>
      </c>
      <c r="X508" s="228" t="s">
        <v>111</v>
      </c>
      <c r="Y508" s="230">
        <f>IFERROR(IF(R508="Probabilidad",(J508-(+J508*U508)),IF(R508="Impacto",J508,"")),"")</f>
        <v>0.48</v>
      </c>
      <c r="Z508" s="231" t="str">
        <f>IFERROR(IF(Y508="","",IF(Y508&lt;=0.2,"Muy Baja",IF(Y508&lt;=0.4,"Baja",IF(Y508&lt;=0.6,"Media",IF(Y508&lt;=0.8,"Alta","Muy Alta"))))),"")</f>
        <v>Media</v>
      </c>
      <c r="AA508" s="232">
        <f>+Y508</f>
        <v>0.48</v>
      </c>
      <c r="AB508" s="231" t="str">
        <f>IFERROR(IF(AC508="","",IF(AC508&lt;=0.2,"Leve",IF(AC508&lt;=0.4,"Menor",IF(AC508&lt;=0.6,"Moderado",IF(AC508&lt;=0.8,"Mayor","Catastrófico"))))),"")</f>
        <v>Leve</v>
      </c>
      <c r="AC508" s="232">
        <f>IFERROR(IF(R508="Impacto",(N508-(+N508*U508)),IF(R508="Probabilidad",N508,"")),"")</f>
        <v>0.2</v>
      </c>
      <c r="AD508" s="233" t="str">
        <f>IFERROR(IF(OR(AND(Z508="Muy Baja",AB508="Leve"),AND(Z508="Muy Baja",AB508="Menor"),AND(Z508="Baja",AB508="Leve")),"Bajo",IF(OR(AND(Z508="Muy baja",AB508="Moderado"),AND(Z508="Baja",AB508="Menor"),AND(Z508="Baja",AB508="Moderado"),AND(Z508="Media",AB508="Leve"),AND(Z508="Media",AB508="Menor"),AND(Z508="Media",AB508="Moderado"),AND(Z508="Alta",AB508="Leve"),AND(Z508="Alta",AB508="Menor")),"Moderado",IF(OR(AND(Z508="Muy Baja",AB508="Mayor"),AND(Z508="Baja",AB508="Mayor"),AND(Z508="Media",AB508="Mayor"),AND(Z508="Alta",AB508="Moderado"),AND(Z508="Alta",AB508="Mayor"),AND(Z508="Muy Alta",AB508="Leve"),AND(Z508="Muy Alta",AB508="Menor"),AND(Z508="Muy Alta",AB508="Moderado"),AND(Z508="Muy Alta",AB508="Mayor")),"Alto",IF(OR(AND(Z508="Muy Baja",AB508="Catastrófico"),AND(Z508="Baja",AB508="Catastrófico"),AND(Z508="Media",AB508="Catastrófico"),AND(Z508="Alta",AB508="Catastrófico"),AND(Z508="Muy Alta",AB508="Catastrófico")),"Extremo","")))),"")</f>
        <v>Moderado</v>
      </c>
      <c r="AE508" s="234" t="s">
        <v>257</v>
      </c>
      <c r="AF508" s="235" t="s">
        <v>1256</v>
      </c>
      <c r="AG508" s="236" t="s">
        <v>1257</v>
      </c>
      <c r="AH508" s="236" t="s">
        <v>1258</v>
      </c>
      <c r="AI508" s="236" t="s">
        <v>1259</v>
      </c>
      <c r="AJ508" s="236" t="s">
        <v>1260</v>
      </c>
      <c r="AK508" s="237">
        <v>44681</v>
      </c>
      <c r="AL508" s="237">
        <v>44926</v>
      </c>
      <c r="AM508" s="350">
        <v>4064</v>
      </c>
      <c r="AN508" s="350"/>
    </row>
    <row r="509" spans="1:40" ht="229.5">
      <c r="A509" s="342"/>
      <c r="B509" s="345"/>
      <c r="C509" s="345"/>
      <c r="D509" s="345"/>
      <c r="E509" s="345"/>
      <c r="F509" s="348"/>
      <c r="G509" s="345"/>
      <c r="H509" s="351"/>
      <c r="I509" s="354"/>
      <c r="J509" s="357"/>
      <c r="K509" s="360"/>
      <c r="L509" s="357">
        <f ca="1">IF(NOT(ISERROR(MATCH(K509,_xlfn.ANCHORARRAY(F529),0))),J531&amp;"Por favor no seleccionar los criterios de impacto",K509)</f>
        <v>0</v>
      </c>
      <c r="M509" s="354"/>
      <c r="N509" s="357"/>
      <c r="O509" s="363"/>
      <c r="P509" s="226">
        <v>2</v>
      </c>
      <c r="Q509" s="271" t="s">
        <v>1261</v>
      </c>
      <c r="R509" s="227" t="str">
        <f t="shared" si="165"/>
        <v>Probabilidad</v>
      </c>
      <c r="S509" s="228" t="s">
        <v>14</v>
      </c>
      <c r="T509" s="228" t="s">
        <v>9</v>
      </c>
      <c r="U509" s="229" t="str">
        <f t="shared" ref="U509:U513" si="208">IF(AND(S509="Preventivo",T509="Automático"),"50%",IF(AND(S509="Preventivo",T509="Manual"),"40%",IF(AND(S509="Detectivo",T509="Automático"),"40%",IF(AND(S509="Detectivo",T509="Manual"),"30%",IF(AND(S509="Correctivo",T509="Automático"),"35%",IF(AND(S509="Correctivo",T509="Manual"),"25%",""))))))</f>
        <v>40%</v>
      </c>
      <c r="V509" s="228" t="s">
        <v>19</v>
      </c>
      <c r="W509" s="228" t="s">
        <v>23</v>
      </c>
      <c r="X509" s="228" t="s">
        <v>111</v>
      </c>
      <c r="Y509" s="230">
        <f>IFERROR(IF(AND(R508="Probabilidad",R509="Probabilidad"),(AA508-(+AA508*U509)),IF(R509="Probabilidad",(J508-(+J508*U509)),IF(R509="Impacto",AA508,""))),"")</f>
        <v>0.28799999999999998</v>
      </c>
      <c r="Z509" s="231" t="str">
        <f t="shared" ref="Z509:Z513" si="209">IFERROR(IF(Y509="","",IF(Y509&lt;=0.2,"Muy Baja",IF(Y509&lt;=0.4,"Baja",IF(Y509&lt;=0.6,"Media",IF(Y509&lt;=0.8,"Alta","Muy Alta"))))),"")</f>
        <v>Baja</v>
      </c>
      <c r="AA509" s="232">
        <f t="shared" ref="AA509:AA513" si="210">+Y509</f>
        <v>0.28799999999999998</v>
      </c>
      <c r="AB509" s="231" t="str">
        <f t="shared" ref="AB509:AB513" si="211">IFERROR(IF(AC509="","",IF(AC509&lt;=0.2,"Leve",IF(AC509&lt;=0.4,"Menor",IF(AC509&lt;=0.6,"Moderado",IF(AC509&lt;=0.8,"Mayor","Catastrófico"))))),"")</f>
        <v>Leve</v>
      </c>
      <c r="AC509" s="232">
        <f>IFERROR(IF(AND(R508="Impacto",R509="Impacto"),(AC508-(+AC508*U509)),IF(R509="Impacto",(N508-(+N508*U509)),IF(R509="Probabilidad",AC508,""))),"")</f>
        <v>0.2</v>
      </c>
      <c r="AD509" s="233" t="str">
        <f t="shared" ref="AD509:AD510" si="212">IFERROR(IF(OR(AND(Z509="Muy Baja",AB509="Leve"),AND(Z509="Muy Baja",AB509="Menor"),AND(Z509="Baja",AB509="Leve")),"Bajo",IF(OR(AND(Z509="Muy baja",AB509="Moderado"),AND(Z509="Baja",AB509="Menor"),AND(Z509="Baja",AB509="Moderado"),AND(Z509="Media",AB509="Leve"),AND(Z509="Media",AB509="Menor"),AND(Z509="Media",AB509="Moderado"),AND(Z509="Alta",AB509="Leve"),AND(Z509="Alta",AB509="Menor")),"Moderado",IF(OR(AND(Z509="Muy Baja",AB509="Mayor"),AND(Z509="Baja",AB509="Mayor"),AND(Z509="Media",AB509="Mayor"),AND(Z509="Alta",AB509="Moderado"),AND(Z509="Alta",AB509="Mayor"),AND(Z509="Muy Alta",AB509="Leve"),AND(Z509="Muy Alta",AB509="Menor"),AND(Z509="Muy Alta",AB509="Moderado"),AND(Z509="Muy Alta",AB509="Mayor")),"Alto",IF(OR(AND(Z509="Muy Baja",AB509="Catastrófico"),AND(Z509="Baja",AB509="Catastrófico"),AND(Z509="Media",AB509="Catastrófico"),AND(Z509="Alta",AB509="Catastrófico"),AND(Z509="Muy Alta",AB509="Catastrófico")),"Extremo","")))),"")</f>
        <v>Bajo</v>
      </c>
      <c r="AE509" s="234" t="s">
        <v>31</v>
      </c>
      <c r="AF509" s="235" t="s">
        <v>1262</v>
      </c>
      <c r="AG509" s="236" t="s">
        <v>1263</v>
      </c>
      <c r="AH509" s="236" t="s">
        <v>1264</v>
      </c>
      <c r="AI509" s="236" t="s">
        <v>1259</v>
      </c>
      <c r="AJ509" s="236" t="s">
        <v>1260</v>
      </c>
      <c r="AK509" s="237">
        <v>44681</v>
      </c>
      <c r="AL509" s="237">
        <v>44926</v>
      </c>
      <c r="AM509" s="351"/>
      <c r="AN509" s="351"/>
    </row>
    <row r="510" spans="1:40" ht="54">
      <c r="A510" s="342"/>
      <c r="B510" s="345"/>
      <c r="C510" s="345"/>
      <c r="D510" s="345"/>
      <c r="E510" s="345"/>
      <c r="F510" s="348"/>
      <c r="G510" s="345"/>
      <c r="H510" s="351"/>
      <c r="I510" s="354"/>
      <c r="J510" s="357"/>
      <c r="K510" s="360"/>
      <c r="L510" s="357">
        <f ca="1">IF(NOT(ISERROR(MATCH(K510,_xlfn.ANCHORARRAY(F530),0))),J532&amp;"Por favor no seleccionar los criterios de impacto",K510)</f>
        <v>0</v>
      </c>
      <c r="M510" s="354"/>
      <c r="N510" s="357"/>
      <c r="O510" s="363"/>
      <c r="P510" s="226">
        <v>3</v>
      </c>
      <c r="Q510" s="271" t="s">
        <v>1265</v>
      </c>
      <c r="R510" s="227" t="str">
        <f t="shared" si="165"/>
        <v>Probabilidad</v>
      </c>
      <c r="S510" s="228" t="s">
        <v>14</v>
      </c>
      <c r="T510" s="228" t="s">
        <v>9</v>
      </c>
      <c r="U510" s="229" t="str">
        <f t="shared" si="208"/>
        <v>40%</v>
      </c>
      <c r="V510" s="228" t="s">
        <v>19</v>
      </c>
      <c r="W510" s="228" t="s">
        <v>23</v>
      </c>
      <c r="X510" s="228" t="s">
        <v>111</v>
      </c>
      <c r="Y510" s="230">
        <f>IFERROR(IF(AND(R509="Probabilidad",R510="Probabilidad"),(AA509-(+AA509*U510)),IF(AND(R509="Impacto",R510="Probabilidad"),(AA508-(+AA508*U510)),IF(R510="Impacto",AA509,""))),"")</f>
        <v>0.17279999999999998</v>
      </c>
      <c r="Z510" s="231" t="str">
        <f t="shared" si="209"/>
        <v>Muy Baja</v>
      </c>
      <c r="AA510" s="232">
        <f t="shared" si="210"/>
        <v>0.17279999999999998</v>
      </c>
      <c r="AB510" s="231" t="str">
        <f t="shared" si="211"/>
        <v>Leve</v>
      </c>
      <c r="AC510" s="232">
        <f>IFERROR(IF(AND(R509="Impacto",R510="Impacto"),(AC509-(+AC509*U510)),IF(AND(R509="Probabilidad",R510="Impacto"),(AC508-(+AC508*U510)),IF(R510="Probabilidad",AC509,""))),"")</f>
        <v>0.2</v>
      </c>
      <c r="AD510" s="233" t="str">
        <f t="shared" si="212"/>
        <v>Bajo</v>
      </c>
      <c r="AE510" s="234" t="s">
        <v>31</v>
      </c>
      <c r="AF510" s="235" t="s">
        <v>1266</v>
      </c>
      <c r="AG510" s="236" t="s">
        <v>1267</v>
      </c>
      <c r="AH510" s="236" t="s">
        <v>1268</v>
      </c>
      <c r="AI510" s="236" t="s">
        <v>1269</v>
      </c>
      <c r="AJ510" s="171" t="s">
        <v>1270</v>
      </c>
      <c r="AK510" s="237">
        <v>44681</v>
      </c>
      <c r="AL510" s="237">
        <v>44926</v>
      </c>
      <c r="AM510" s="351"/>
      <c r="AN510" s="351"/>
    </row>
    <row r="511" spans="1:40" ht="63.75">
      <c r="A511" s="342"/>
      <c r="B511" s="345"/>
      <c r="C511" s="345"/>
      <c r="D511" s="345"/>
      <c r="E511" s="345"/>
      <c r="F511" s="348"/>
      <c r="G511" s="345"/>
      <c r="H511" s="351"/>
      <c r="I511" s="354"/>
      <c r="J511" s="357"/>
      <c r="K511" s="360"/>
      <c r="L511" s="357">
        <f ca="1">IF(NOT(ISERROR(MATCH(K511,_xlfn.ANCHORARRAY(F531),0))),J533&amp;"Por favor no seleccionar los criterios de impacto",K511)</f>
        <v>0</v>
      </c>
      <c r="M511" s="354"/>
      <c r="N511" s="357"/>
      <c r="O511" s="363"/>
      <c r="P511" s="226">
        <v>4</v>
      </c>
      <c r="Q511" s="271" t="s">
        <v>1271</v>
      </c>
      <c r="R511" s="227" t="str">
        <f t="shared" si="165"/>
        <v>Probabilidad</v>
      </c>
      <c r="S511" s="228" t="s">
        <v>14</v>
      </c>
      <c r="T511" s="228" t="s">
        <v>9</v>
      </c>
      <c r="U511" s="229" t="str">
        <f t="shared" si="208"/>
        <v>40%</v>
      </c>
      <c r="V511" s="228" t="s">
        <v>19</v>
      </c>
      <c r="W511" s="228" t="s">
        <v>23</v>
      </c>
      <c r="X511" s="228" t="s">
        <v>111</v>
      </c>
      <c r="Y511" s="230">
        <f>IFERROR(IF(AND(R510="Probabilidad",R511="Probabilidad"),(AA510-(+AA510*U511)),IF(AND(R510="Impacto",R511="Probabilidad"),(AA509-(+AA509*U511)),IF(R511="Impacto",AA510,""))),"")</f>
        <v>0.10367999999999998</v>
      </c>
      <c r="Z511" s="231" t="str">
        <f t="shared" si="209"/>
        <v>Muy Baja</v>
      </c>
      <c r="AA511" s="232">
        <f t="shared" si="210"/>
        <v>0.10367999999999998</v>
      </c>
      <c r="AB511" s="231" t="str">
        <f t="shared" si="211"/>
        <v>Leve</v>
      </c>
      <c r="AC511" s="232">
        <f t="shared" ref="AC511:AC513" si="213">IFERROR(IF(AND(R510="Impacto",R511="Impacto"),(AC510-(+AC510*U511)),IF(AND(R510="Probabilidad",R511="Impacto"),(AC509-(+AC509*U511)),IF(R511="Probabilidad",AC510,""))),"")</f>
        <v>0.2</v>
      </c>
      <c r="AD511" s="233" t="str">
        <f>IFERROR(IF(OR(AND(Z511="Muy Baja",AB511="Leve"),AND(Z511="Muy Baja",AB511="Menor"),AND(Z511="Baja",AB511="Leve")),"Bajo",IF(OR(AND(Z511="Muy baja",AB511="Moderado"),AND(Z511="Baja",AB511="Menor"),AND(Z511="Baja",AB511="Moderado"),AND(Z511="Media",AB511="Leve"),AND(Z511="Media",AB511="Menor"),AND(Z511="Media",AB511="Moderado"),AND(Z511="Alta",AB511="Leve"),AND(Z511="Alta",AB511="Menor")),"Moderado",IF(OR(AND(Z511="Muy Baja",AB511="Mayor"),AND(Z511="Baja",AB511="Mayor"),AND(Z511="Media",AB511="Mayor"),AND(Z511="Alta",AB511="Moderado"),AND(Z511="Alta",AB511="Mayor"),AND(Z511="Muy Alta",AB511="Leve"),AND(Z511="Muy Alta",AB511="Menor"),AND(Z511="Muy Alta",AB511="Moderado"),AND(Z511="Muy Alta",AB511="Mayor")),"Alto",IF(OR(AND(Z511="Muy Baja",AB511="Catastrófico"),AND(Z511="Baja",AB511="Catastrófico"),AND(Z511="Media",AB511="Catastrófico"),AND(Z511="Alta",AB511="Catastrófico"),AND(Z511="Muy Alta",AB511="Catastrófico")),"Extremo","")))),"")</f>
        <v>Bajo</v>
      </c>
      <c r="AE511" s="234" t="s">
        <v>31</v>
      </c>
      <c r="AF511" s="235" t="s">
        <v>1272</v>
      </c>
      <c r="AG511" s="236" t="s">
        <v>1267</v>
      </c>
      <c r="AH511" s="236" t="s">
        <v>1268</v>
      </c>
      <c r="AI511" s="236" t="s">
        <v>1269</v>
      </c>
      <c r="AJ511" s="171" t="s">
        <v>1270</v>
      </c>
      <c r="AK511" s="237">
        <v>44681</v>
      </c>
      <c r="AL511" s="237">
        <v>44926</v>
      </c>
      <c r="AM511" s="351"/>
      <c r="AN511" s="351"/>
    </row>
    <row r="512" spans="1:40" ht="63.75">
      <c r="A512" s="342"/>
      <c r="B512" s="345"/>
      <c r="C512" s="345"/>
      <c r="D512" s="345"/>
      <c r="E512" s="345"/>
      <c r="F512" s="348"/>
      <c r="G512" s="345"/>
      <c r="H512" s="351"/>
      <c r="I512" s="354"/>
      <c r="J512" s="357"/>
      <c r="K512" s="360"/>
      <c r="L512" s="357"/>
      <c r="M512" s="354"/>
      <c r="N512" s="357"/>
      <c r="O512" s="363"/>
      <c r="P512" s="226">
        <v>5</v>
      </c>
      <c r="Q512" s="271" t="s">
        <v>1273</v>
      </c>
      <c r="R512" s="227" t="str">
        <f t="shared" si="165"/>
        <v>Probabilidad</v>
      </c>
      <c r="S512" s="228" t="s">
        <v>14</v>
      </c>
      <c r="T512" s="228" t="s">
        <v>9</v>
      </c>
      <c r="U512" s="229" t="str">
        <f t="shared" si="208"/>
        <v>40%</v>
      </c>
      <c r="V512" s="228" t="s">
        <v>19</v>
      </c>
      <c r="W512" s="228" t="s">
        <v>23</v>
      </c>
      <c r="X512" s="228" t="s">
        <v>111</v>
      </c>
      <c r="Y512" s="230">
        <f t="shared" ref="Y512:Y513" si="214">IFERROR(IF(AND(R511="Probabilidad",R512="Probabilidad"),(AA511-(+AA511*U512)),IF(AND(R511="Impacto",R512="Probabilidad"),(AA510-(+AA510*U512)),IF(R512="Impacto",AA511,""))),"")</f>
        <v>6.2207999999999986E-2</v>
      </c>
      <c r="Z512" s="231" t="str">
        <f t="shared" si="209"/>
        <v>Muy Baja</v>
      </c>
      <c r="AA512" s="232">
        <f t="shared" si="210"/>
        <v>6.2207999999999986E-2</v>
      </c>
      <c r="AB512" s="231" t="str">
        <f t="shared" si="211"/>
        <v>Leve</v>
      </c>
      <c r="AC512" s="232">
        <f t="shared" si="213"/>
        <v>0.2</v>
      </c>
      <c r="AD512" s="233" t="str">
        <f t="shared" ref="AD512:AD513" si="215">IFERROR(IF(OR(AND(Z512="Muy Baja",AB512="Leve"),AND(Z512="Muy Baja",AB512="Menor"),AND(Z512="Baja",AB512="Leve")),"Bajo",IF(OR(AND(Z512="Muy baja",AB512="Moderado"),AND(Z512="Baja",AB512="Menor"),AND(Z512="Baja",AB512="Moderado"),AND(Z512="Media",AB512="Leve"),AND(Z512="Media",AB512="Menor"),AND(Z512="Media",AB512="Moderado"),AND(Z512="Alta",AB512="Leve"),AND(Z512="Alta",AB512="Menor")),"Moderado",IF(OR(AND(Z512="Muy Baja",AB512="Mayor"),AND(Z512="Baja",AB512="Mayor"),AND(Z512="Media",AB512="Mayor"),AND(Z512="Alta",AB512="Moderado"),AND(Z512="Alta",AB512="Mayor"),AND(Z512="Muy Alta",AB512="Leve"),AND(Z512="Muy Alta",AB512="Menor"),AND(Z512="Muy Alta",AB512="Moderado"),AND(Z512="Muy Alta",AB512="Mayor")),"Alto",IF(OR(AND(Z512="Muy Baja",AB512="Catastrófico"),AND(Z512="Baja",AB512="Catastrófico"),AND(Z512="Media",AB512="Catastrófico"),AND(Z512="Alta",AB512="Catastrófico"),AND(Z512="Muy Alta",AB512="Catastrófico")),"Extremo","")))),"")</f>
        <v>Bajo</v>
      </c>
      <c r="AE512" s="234" t="s">
        <v>31</v>
      </c>
      <c r="AF512" s="235" t="s">
        <v>1274</v>
      </c>
      <c r="AG512" s="236" t="s">
        <v>1267</v>
      </c>
      <c r="AH512" s="236" t="s">
        <v>1268</v>
      </c>
      <c r="AI512" s="236" t="s">
        <v>1269</v>
      </c>
      <c r="AJ512" s="171" t="s">
        <v>1270</v>
      </c>
      <c r="AK512" s="237">
        <v>44681</v>
      </c>
      <c r="AL512" s="237">
        <v>44926</v>
      </c>
      <c r="AM512" s="351"/>
      <c r="AN512" s="351"/>
    </row>
    <row r="513" spans="1:40" ht="40.5">
      <c r="A513" s="343"/>
      <c r="B513" s="345"/>
      <c r="C513" s="345"/>
      <c r="D513" s="345"/>
      <c r="E513" s="345"/>
      <c r="F513" s="348"/>
      <c r="G513" s="345"/>
      <c r="H513" s="351"/>
      <c r="I513" s="354"/>
      <c r="J513" s="357"/>
      <c r="K513" s="360"/>
      <c r="L513" s="357"/>
      <c r="M513" s="354"/>
      <c r="N513" s="357"/>
      <c r="O513" s="363"/>
      <c r="P513" s="226">
        <v>6</v>
      </c>
      <c r="Q513" s="224"/>
      <c r="R513" s="227" t="str">
        <f t="shared" si="165"/>
        <v/>
      </c>
      <c r="S513" s="228"/>
      <c r="T513" s="228"/>
      <c r="U513" s="229" t="str">
        <f t="shared" si="208"/>
        <v/>
      </c>
      <c r="V513" s="228"/>
      <c r="W513" s="228"/>
      <c r="X513" s="228"/>
      <c r="Y513" s="230" t="str">
        <f t="shared" si="214"/>
        <v/>
      </c>
      <c r="Z513" s="231" t="str">
        <f t="shared" si="209"/>
        <v/>
      </c>
      <c r="AA513" s="232" t="str">
        <f t="shared" si="210"/>
        <v/>
      </c>
      <c r="AB513" s="231" t="str">
        <f t="shared" si="211"/>
        <v/>
      </c>
      <c r="AC513" s="232" t="str">
        <f t="shared" si="213"/>
        <v/>
      </c>
      <c r="AD513" s="233" t="str">
        <f t="shared" si="215"/>
        <v/>
      </c>
      <c r="AE513" s="234"/>
      <c r="AF513" s="235" t="s">
        <v>1275</v>
      </c>
      <c r="AG513" s="171" t="s">
        <v>1276</v>
      </c>
      <c r="AH513" s="236" t="s">
        <v>1268</v>
      </c>
      <c r="AI513" s="236" t="s">
        <v>1269</v>
      </c>
      <c r="AJ513" s="171" t="s">
        <v>1270</v>
      </c>
      <c r="AK513" s="237">
        <v>44681</v>
      </c>
      <c r="AL513" s="237">
        <v>44926</v>
      </c>
      <c r="AM513" s="351"/>
      <c r="AN513" s="351"/>
    </row>
    <row r="514" spans="1:40" ht="150">
      <c r="A514" s="341">
        <v>84</v>
      </c>
      <c r="B514" s="344" t="s">
        <v>212</v>
      </c>
      <c r="C514" s="344" t="s">
        <v>125</v>
      </c>
      <c r="D514" s="344" t="s">
        <v>1277</v>
      </c>
      <c r="E514" s="344" t="s">
        <v>1278</v>
      </c>
      <c r="F514" s="347" t="s">
        <v>1279</v>
      </c>
      <c r="G514" s="344" t="s">
        <v>120</v>
      </c>
      <c r="H514" s="350">
        <v>650</v>
      </c>
      <c r="I514" s="353" t="str">
        <f>IF(H514&lt;=0,"",IF(H514&lt;=2,"Muy Baja",IF(H514&lt;=24,"Baja",IF(H514&lt;=500,"Media",IF(H514&lt;=5000,"Alta","Muy Alta")))))</f>
        <v>Alta</v>
      </c>
      <c r="J514" s="356">
        <f>IF(I514="","",IF(I514="Muy Baja",0.2,IF(I514="Baja",0.4,IF(I514="Media",0.6,IF(I514="Alta",0.8,IF(I514="Muy Alta",1,))))))</f>
        <v>0.8</v>
      </c>
      <c r="K514" s="359" t="s">
        <v>138</v>
      </c>
      <c r="L514" s="356" t="str">
        <f>IF(NOT(ISERROR(MATCH(K514,'[13]Tabla Impacto'!$B$221:$B$223,0))),'[13]Tabla Impacto'!$F$223&amp;"Por favor no seleccionar los criterios de impacto(Afectación Económica o presupuestal y Pérdida Reputacional)",K514)</f>
        <v xml:space="preserve">     Entre 100 y 500 SMLMV </v>
      </c>
      <c r="M514" s="353" t="str">
        <f>IF(OR(L514='[13]Tabla Impacto'!$C$11,L514='[13]Tabla Impacto'!$D$11),"Leve",IF(OR(L514='[13]Tabla Impacto'!$C$12,L514='[13]Tabla Impacto'!$D$12),"Menor",IF(OR(L514='[13]Tabla Impacto'!$C$13,L514='[13]Tabla Impacto'!$D$13),"Moderado",IF(OR(L514='[13]Tabla Impacto'!$C$14,L514='[13]Tabla Impacto'!$D$14),"Mayor",IF(OR(L514='[13]Tabla Impacto'!$C$15,L514='[13]Tabla Impacto'!$D$15),"Catastrófico","")))))</f>
        <v>Mayor</v>
      </c>
      <c r="N514" s="356">
        <f>IF(M514="","",IF(M514="Leve",0.2,IF(M514="Menor",0.4,IF(M514="Moderado",0.6,IF(M514="Mayor",0.8,IF(M514="Catastrófico",1,))))))</f>
        <v>0.8</v>
      </c>
      <c r="O514" s="362" t="str">
        <f>IF(OR(AND(I514="Muy Baja",M514="Leve"),AND(I514="Muy Baja",M514="Menor"),AND(I514="Baja",M514="Leve")),"Bajo",IF(OR(AND(I514="Muy baja",M514="Moderado"),AND(I514="Baja",M514="Menor"),AND(I514="Baja",M514="Moderado"),AND(I514="Media",M514="Leve"),AND(I514="Media",M514="Menor"),AND(I514="Media",M514="Moderado"),AND(I514="Alta",M514="Leve"),AND(I514="Alta",M514="Menor")),"Moderado",IF(OR(AND(I514="Muy Baja",M514="Mayor"),AND(I514="Baja",M514="Mayor"),AND(I514="Media",M514="Mayor"),AND(I514="Alta",M514="Moderado"),AND(I514="Alta",M514="Mayor"),AND(I514="Muy Alta",M514="Leve"),AND(I514="Muy Alta",M514="Menor"),AND(I514="Muy Alta",M514="Moderado"),AND(I514="Muy Alta",M514="Mayor")),"Alto",IF(OR(AND(I514="Muy Baja",M514="Catastrófico"),AND(I514="Baja",M514="Catastrófico"),AND(I514="Media",M514="Catastrófico"),AND(I514="Alta",M514="Catastrófico"),AND(I514="Muy Alta",M514="Catastrófico")),"Extremo",""))))</f>
        <v>Alto</v>
      </c>
      <c r="P514" s="226">
        <v>1</v>
      </c>
      <c r="Q514" s="272" t="s">
        <v>1280</v>
      </c>
      <c r="R514" s="227" t="str">
        <f t="shared" si="165"/>
        <v>Probabilidad</v>
      </c>
      <c r="S514" s="228" t="s">
        <v>14</v>
      </c>
      <c r="T514" s="228" t="s">
        <v>9</v>
      </c>
      <c r="U514" s="229" t="str">
        <f>IF(AND(S514="Preventivo",T514="Automático"),"50%",IF(AND(S514="Preventivo",T514="Manual"),"40%",IF(AND(S514="Detectivo",T514="Automático"),"40%",IF(AND(S514="Detectivo",T514="Manual"),"30%",IF(AND(S514="Correctivo",T514="Automático"),"35%",IF(AND(S514="Correctivo",T514="Manual"),"25%",""))))))</f>
        <v>40%</v>
      </c>
      <c r="V514" s="228" t="s">
        <v>19</v>
      </c>
      <c r="W514" s="228" t="s">
        <v>22</v>
      </c>
      <c r="X514" s="228" t="s">
        <v>111</v>
      </c>
      <c r="Y514" s="230">
        <f>IFERROR(IF(R514="Probabilidad",(J514-(+J514*U514)),IF(R514="Impacto",J514,"")),"")</f>
        <v>0.48</v>
      </c>
      <c r="Z514" s="231" t="str">
        <f>IFERROR(IF(Y514="","",IF(Y514&lt;=0.2,"Muy Baja",IF(Y514&lt;=0.4,"Baja",IF(Y514&lt;=0.6,"Media",IF(Y514&lt;=0.8,"Alta","Muy Alta"))))),"")</f>
        <v>Media</v>
      </c>
      <c r="AA514" s="232">
        <f>+Y514</f>
        <v>0.48</v>
      </c>
      <c r="AB514" s="231" t="str">
        <f>IFERROR(IF(AC514="","",IF(AC514&lt;=0.2,"Leve",IF(AC514&lt;=0.4,"Menor",IF(AC514&lt;=0.6,"Moderado",IF(AC514&lt;=0.8,"Mayor","Catastrófico"))))),"")</f>
        <v>Mayor</v>
      </c>
      <c r="AC514" s="232">
        <f>IFERROR(IF(R514="Impacto",(N514-(+N514*U514)),IF(R514="Probabilidad",N514,"")),"")</f>
        <v>0.8</v>
      </c>
      <c r="AD514" s="233" t="str">
        <f>IFERROR(IF(OR(AND(Z514="Muy Baja",AB514="Leve"),AND(Z514="Muy Baja",AB514="Menor"),AND(Z514="Baja",AB514="Leve")),"Bajo",IF(OR(AND(Z514="Muy baja",AB514="Moderado"),AND(Z514="Baja",AB514="Menor"),AND(Z514="Baja",AB514="Moderado"),AND(Z514="Media",AB514="Leve"),AND(Z514="Media",AB514="Menor"),AND(Z514="Media",AB514="Moderado"),AND(Z514="Alta",AB514="Leve"),AND(Z514="Alta",AB514="Menor")),"Moderado",IF(OR(AND(Z514="Muy Baja",AB514="Mayor"),AND(Z514="Baja",AB514="Mayor"),AND(Z514="Media",AB514="Mayor"),AND(Z514="Alta",AB514="Moderado"),AND(Z514="Alta",AB514="Mayor"),AND(Z514="Muy Alta",AB514="Leve"),AND(Z514="Muy Alta",AB514="Menor"),AND(Z514="Muy Alta",AB514="Moderado"),AND(Z514="Muy Alta",AB514="Mayor")),"Alto",IF(OR(AND(Z514="Muy Baja",AB514="Catastrófico"),AND(Z514="Baja",AB514="Catastrófico"),AND(Z514="Media",AB514="Catastrófico"),AND(Z514="Alta",AB514="Catastrófico"),AND(Z514="Muy Alta",AB514="Catastrófico")),"Extremo","")))),"")</f>
        <v>Alto</v>
      </c>
      <c r="AE514" s="234" t="s">
        <v>257</v>
      </c>
      <c r="AF514" s="235" t="s">
        <v>1281</v>
      </c>
      <c r="AG514" s="236" t="s">
        <v>1282</v>
      </c>
      <c r="AH514" s="236" t="s">
        <v>1283</v>
      </c>
      <c r="AI514" s="236" t="s">
        <v>1284</v>
      </c>
      <c r="AJ514" s="236" t="s">
        <v>1282</v>
      </c>
      <c r="AK514" s="237">
        <v>44680</v>
      </c>
      <c r="AL514" s="237">
        <v>44926</v>
      </c>
      <c r="AM514" s="350">
        <v>4065</v>
      </c>
      <c r="AN514" s="350"/>
    </row>
    <row r="515" spans="1:40" ht="105">
      <c r="A515" s="342"/>
      <c r="B515" s="345"/>
      <c r="C515" s="345"/>
      <c r="D515" s="345"/>
      <c r="E515" s="345"/>
      <c r="F515" s="348"/>
      <c r="G515" s="345"/>
      <c r="H515" s="351"/>
      <c r="I515" s="354"/>
      <c r="J515" s="357"/>
      <c r="K515" s="360"/>
      <c r="L515" s="357">
        <f ca="1">IF(NOT(ISERROR(MATCH(K515,_xlfn.ANCHORARRAY(F526),0))),J528&amp;"Por favor no seleccionar los criterios de impacto",K515)</f>
        <v>0</v>
      </c>
      <c r="M515" s="354"/>
      <c r="N515" s="357"/>
      <c r="O515" s="363"/>
      <c r="P515" s="226">
        <v>2</v>
      </c>
      <c r="Q515" s="272" t="s">
        <v>1285</v>
      </c>
      <c r="R515" s="227" t="str">
        <f t="shared" si="165"/>
        <v>Impacto</v>
      </c>
      <c r="S515" s="228" t="s">
        <v>16</v>
      </c>
      <c r="T515" s="228" t="s">
        <v>9</v>
      </c>
      <c r="U515" s="229" t="str">
        <f t="shared" ref="U515:U525" si="216">IF(AND(S515="Preventivo",T515="Automático"),"50%",IF(AND(S515="Preventivo",T515="Manual"),"40%",IF(AND(S515="Detectivo",T515="Automático"),"40%",IF(AND(S515="Detectivo",T515="Manual"),"30%",IF(AND(S515="Correctivo",T515="Automático"),"35%",IF(AND(S515="Correctivo",T515="Manual"),"25%",""))))))</f>
        <v>25%</v>
      </c>
      <c r="V515" s="228" t="s">
        <v>19</v>
      </c>
      <c r="W515" s="228" t="s">
        <v>22</v>
      </c>
      <c r="X515" s="228" t="s">
        <v>111</v>
      </c>
      <c r="Y515" s="230">
        <f>IFERROR(IF(AND(R514="Probabilidad",R515="Probabilidad"),(AA514-(+AA514*U515)),IF(R515="Probabilidad",(J514-(+J514*U515)),IF(R515="Impacto",AA514,""))),"")</f>
        <v>0.48</v>
      </c>
      <c r="Z515" s="231" t="str">
        <f t="shared" ref="Z515:Z525" si="217">IFERROR(IF(Y515="","",IF(Y515&lt;=0.2,"Muy Baja",IF(Y515&lt;=0.4,"Baja",IF(Y515&lt;=0.6,"Media",IF(Y515&lt;=0.8,"Alta","Muy Alta"))))),"")</f>
        <v>Media</v>
      </c>
      <c r="AA515" s="232">
        <f t="shared" ref="AA515:AA525" si="218">+Y515</f>
        <v>0.48</v>
      </c>
      <c r="AB515" s="231" t="str">
        <f t="shared" ref="AB515:AB525" si="219">IFERROR(IF(AC515="","",IF(AC515&lt;=0.2,"Leve",IF(AC515&lt;=0.4,"Menor",IF(AC515&lt;=0.6,"Moderado",IF(AC515&lt;=0.8,"Mayor","Catastrófico"))))),"")</f>
        <v>Moderado</v>
      </c>
      <c r="AC515" s="232">
        <f>IFERROR(IF(AND(R514="Impacto",R515="Impacto"),(AC514-(+AC514*U515)),IF(R515="Impacto",(N514-(+N514*U515)),IF(R515="Probabilidad",AC514,""))),"")</f>
        <v>0.60000000000000009</v>
      </c>
      <c r="AD515" s="233" t="str">
        <f t="shared" ref="AD515:AD516" si="220">IFERROR(IF(OR(AND(Z515="Muy Baja",AB515="Leve"),AND(Z515="Muy Baja",AB515="Menor"),AND(Z515="Baja",AB515="Leve")),"Bajo",IF(OR(AND(Z515="Muy baja",AB515="Moderado"),AND(Z515="Baja",AB515="Menor"),AND(Z515="Baja",AB515="Moderado"),AND(Z515="Media",AB515="Leve"),AND(Z515="Media",AB515="Menor"),AND(Z515="Media",AB515="Moderado"),AND(Z515="Alta",AB515="Leve"),AND(Z515="Alta",AB515="Menor")),"Moderado",IF(OR(AND(Z515="Muy Baja",AB515="Mayor"),AND(Z515="Baja",AB515="Mayor"),AND(Z515="Media",AB515="Mayor"),AND(Z515="Alta",AB515="Moderado"),AND(Z515="Alta",AB515="Mayor"),AND(Z515="Muy Alta",AB515="Leve"),AND(Z515="Muy Alta",AB515="Menor"),AND(Z515="Muy Alta",AB515="Moderado"),AND(Z515="Muy Alta",AB515="Mayor")),"Alto",IF(OR(AND(Z515="Muy Baja",AB515="Catastrófico"),AND(Z515="Baja",AB515="Catastrófico"),AND(Z515="Media",AB515="Catastrófico"),AND(Z515="Alta",AB515="Catastrófico"),AND(Z515="Muy Alta",AB515="Catastrófico")),"Extremo","")))),"")</f>
        <v>Moderado</v>
      </c>
      <c r="AE515" s="234" t="s">
        <v>257</v>
      </c>
      <c r="AF515" s="235" t="s">
        <v>1286</v>
      </c>
      <c r="AG515" s="236" t="s">
        <v>1282</v>
      </c>
      <c r="AH515" s="236" t="s">
        <v>1283</v>
      </c>
      <c r="AI515" s="236" t="s">
        <v>1284</v>
      </c>
      <c r="AJ515" s="236" t="s">
        <v>1282</v>
      </c>
      <c r="AK515" s="237">
        <v>44680</v>
      </c>
      <c r="AL515" s="237">
        <v>44926</v>
      </c>
      <c r="AM515" s="351"/>
      <c r="AN515" s="351"/>
    </row>
    <row r="516" spans="1:40" ht="120">
      <c r="A516" s="342"/>
      <c r="B516" s="345"/>
      <c r="C516" s="345"/>
      <c r="D516" s="345"/>
      <c r="E516" s="345"/>
      <c r="F516" s="348"/>
      <c r="G516" s="345"/>
      <c r="H516" s="351"/>
      <c r="I516" s="354"/>
      <c r="J516" s="357"/>
      <c r="K516" s="360"/>
      <c r="L516" s="357">
        <f ca="1">IF(NOT(ISERROR(MATCH(K516,_xlfn.ANCHORARRAY(F527),0))),J529&amp;"Por favor no seleccionar los criterios de impacto",K516)</f>
        <v>0</v>
      </c>
      <c r="M516" s="354"/>
      <c r="N516" s="357"/>
      <c r="O516" s="363"/>
      <c r="P516" s="226">
        <v>3</v>
      </c>
      <c r="Q516" s="272" t="s">
        <v>1287</v>
      </c>
      <c r="R516" s="227" t="str">
        <f t="shared" si="165"/>
        <v>Probabilidad</v>
      </c>
      <c r="S516" s="228" t="s">
        <v>14</v>
      </c>
      <c r="T516" s="228" t="s">
        <v>9</v>
      </c>
      <c r="U516" s="229" t="str">
        <f t="shared" si="216"/>
        <v>40%</v>
      </c>
      <c r="V516" s="228" t="s">
        <v>19</v>
      </c>
      <c r="W516" s="228" t="s">
        <v>22</v>
      </c>
      <c r="X516" s="228" t="s">
        <v>111</v>
      </c>
      <c r="Y516" s="230">
        <f>IFERROR(IF(AND(R515="Probabilidad",R516="Probabilidad"),(AA515-(+AA515*U516)),IF(AND(R515="Impacto",R516="Probabilidad"),(AA514-(+AA514*U516)),IF(R516="Impacto",AA515,""))),"")</f>
        <v>0.28799999999999998</v>
      </c>
      <c r="Z516" s="231" t="str">
        <f t="shared" si="217"/>
        <v>Baja</v>
      </c>
      <c r="AA516" s="232">
        <f t="shared" si="218"/>
        <v>0.28799999999999998</v>
      </c>
      <c r="AB516" s="231" t="str">
        <f t="shared" si="219"/>
        <v>Moderado</v>
      </c>
      <c r="AC516" s="232">
        <f>IFERROR(IF(AND(R515="Impacto",R516="Impacto"),(AC515-(+AC515*U516)),IF(AND(R515="Probabilidad",R516="Impacto"),(AC514-(+AC514*U516)),IF(R516="Probabilidad",AC515,""))),"")</f>
        <v>0.60000000000000009</v>
      </c>
      <c r="AD516" s="233" t="str">
        <f t="shared" si="220"/>
        <v>Moderado</v>
      </c>
      <c r="AE516" s="234" t="s">
        <v>257</v>
      </c>
      <c r="AF516" s="235" t="s">
        <v>1288</v>
      </c>
      <c r="AG516" s="236" t="s">
        <v>1282</v>
      </c>
      <c r="AH516" s="236" t="s">
        <v>1283</v>
      </c>
      <c r="AI516" s="236" t="s">
        <v>1284</v>
      </c>
      <c r="AJ516" s="236" t="s">
        <v>1282</v>
      </c>
      <c r="AK516" s="237">
        <v>44680</v>
      </c>
      <c r="AL516" s="237">
        <v>44926</v>
      </c>
      <c r="AM516" s="351"/>
      <c r="AN516" s="351"/>
    </row>
    <row r="517" spans="1:40" ht="150">
      <c r="A517" s="342"/>
      <c r="B517" s="345"/>
      <c r="C517" s="345"/>
      <c r="D517" s="345"/>
      <c r="E517" s="345"/>
      <c r="F517" s="348"/>
      <c r="G517" s="345"/>
      <c r="H517" s="351"/>
      <c r="I517" s="354"/>
      <c r="J517" s="357"/>
      <c r="K517" s="360"/>
      <c r="L517" s="357">
        <f ca="1">IF(NOT(ISERROR(MATCH(K517,_xlfn.ANCHORARRAY(F528),0))),J530&amp;"Por favor no seleccionar los criterios de impacto",K517)</f>
        <v>0</v>
      </c>
      <c r="M517" s="354"/>
      <c r="N517" s="357"/>
      <c r="O517" s="363"/>
      <c r="P517" s="226">
        <v>4</v>
      </c>
      <c r="Q517" s="272" t="s">
        <v>1289</v>
      </c>
      <c r="R517" s="227" t="str">
        <f t="shared" si="165"/>
        <v>Impacto</v>
      </c>
      <c r="S517" s="228" t="s">
        <v>16</v>
      </c>
      <c r="T517" s="228" t="s">
        <v>9</v>
      </c>
      <c r="U517" s="229" t="str">
        <f t="shared" si="216"/>
        <v>25%</v>
      </c>
      <c r="V517" s="228" t="s">
        <v>19</v>
      </c>
      <c r="W517" s="228" t="s">
        <v>22</v>
      </c>
      <c r="X517" s="228" t="s">
        <v>111</v>
      </c>
      <c r="Y517" s="230">
        <f>IFERROR(IF(AND(R516="Probabilidad",R517="Probabilidad"),(AA516-(+AA516*U517)),IF(AND(R516="Impacto",R517="Probabilidad"),(AA515-(+AA515*U517)),IF(R517="Impacto",AA516,""))),"")</f>
        <v>0.28799999999999998</v>
      </c>
      <c r="Z517" s="231" t="str">
        <f t="shared" si="217"/>
        <v>Baja</v>
      </c>
      <c r="AA517" s="232">
        <f t="shared" si="218"/>
        <v>0.28799999999999998</v>
      </c>
      <c r="AB517" s="231" t="str">
        <f t="shared" si="219"/>
        <v>Moderado</v>
      </c>
      <c r="AC517" s="232">
        <f t="shared" ref="AC517:AC519" si="221">IFERROR(IF(AND(R516="Impacto",R517="Impacto"),(AC516-(+AC516*U517)),IF(AND(R516="Probabilidad",R517="Impacto"),(AC515-(+AC515*U517)),IF(R517="Probabilidad",AC516,""))),"")</f>
        <v>0.45000000000000007</v>
      </c>
      <c r="AD517" s="233" t="str">
        <f>IFERROR(IF(OR(AND(Z517="Muy Baja",AB517="Leve"),AND(Z517="Muy Baja",AB517="Menor"),AND(Z517="Baja",AB517="Leve")),"Bajo",IF(OR(AND(Z517="Muy baja",AB517="Moderado"),AND(Z517="Baja",AB517="Menor"),AND(Z517="Baja",AB517="Moderado"),AND(Z517="Media",AB517="Leve"),AND(Z517="Media",AB517="Menor"),AND(Z517="Media",AB517="Moderado"),AND(Z517="Alta",AB517="Leve"),AND(Z517="Alta",AB517="Menor")),"Moderado",IF(OR(AND(Z517="Muy Baja",AB517="Mayor"),AND(Z517="Baja",AB517="Mayor"),AND(Z517="Media",AB517="Mayor"),AND(Z517="Alta",AB517="Moderado"),AND(Z517="Alta",AB517="Mayor"),AND(Z517="Muy Alta",AB517="Leve"),AND(Z517="Muy Alta",AB517="Menor"),AND(Z517="Muy Alta",AB517="Moderado"),AND(Z517="Muy Alta",AB517="Mayor")),"Alto",IF(OR(AND(Z517="Muy Baja",AB517="Catastrófico"),AND(Z517="Baja",AB517="Catastrófico"),AND(Z517="Media",AB517="Catastrófico"),AND(Z517="Alta",AB517="Catastrófico"),AND(Z517="Muy Alta",AB517="Catastrófico")),"Extremo","")))),"")</f>
        <v>Moderado</v>
      </c>
      <c r="AE517" s="234" t="s">
        <v>257</v>
      </c>
      <c r="AF517" s="235" t="s">
        <v>1290</v>
      </c>
      <c r="AG517" s="236" t="s">
        <v>1282</v>
      </c>
      <c r="AH517" s="236" t="s">
        <v>1283</v>
      </c>
      <c r="AI517" s="236" t="s">
        <v>1284</v>
      </c>
      <c r="AJ517" s="236" t="s">
        <v>1282</v>
      </c>
      <c r="AK517" s="237">
        <v>44680</v>
      </c>
      <c r="AL517" s="237">
        <v>44926</v>
      </c>
      <c r="AM517" s="351"/>
      <c r="AN517" s="351"/>
    </row>
    <row r="518" spans="1:40">
      <c r="A518" s="342"/>
      <c r="B518" s="345"/>
      <c r="C518" s="345"/>
      <c r="D518" s="345"/>
      <c r="E518" s="345"/>
      <c r="F518" s="348"/>
      <c r="G518" s="345"/>
      <c r="H518" s="351"/>
      <c r="I518" s="354"/>
      <c r="J518" s="357"/>
      <c r="K518" s="360"/>
      <c r="L518" s="357"/>
      <c r="M518" s="354"/>
      <c r="N518" s="357"/>
      <c r="O518" s="363"/>
      <c r="P518" s="226">
        <v>5</v>
      </c>
      <c r="Q518" s="224"/>
      <c r="R518" s="227" t="str">
        <f t="shared" si="165"/>
        <v/>
      </c>
      <c r="S518" s="228"/>
      <c r="T518" s="228"/>
      <c r="U518" s="229" t="str">
        <f t="shared" si="216"/>
        <v/>
      </c>
      <c r="V518" s="228"/>
      <c r="W518" s="228"/>
      <c r="X518" s="228"/>
      <c r="Y518" s="230" t="str">
        <f t="shared" ref="Y518:Y519" si="222">IFERROR(IF(AND(R517="Probabilidad",R518="Probabilidad"),(AA517-(+AA517*U518)),IF(AND(R517="Impacto",R518="Probabilidad"),(AA516-(+AA516*U518)),IF(R518="Impacto",AA517,""))),"")</f>
        <v/>
      </c>
      <c r="Z518" s="231" t="str">
        <f t="shared" si="217"/>
        <v/>
      </c>
      <c r="AA518" s="232" t="str">
        <f t="shared" si="218"/>
        <v/>
      </c>
      <c r="AB518" s="231" t="str">
        <f t="shared" si="219"/>
        <v/>
      </c>
      <c r="AC518" s="232" t="str">
        <f t="shared" si="221"/>
        <v/>
      </c>
      <c r="AD518" s="233" t="str">
        <f t="shared" ref="AD518:AD525" si="223">IFERROR(IF(OR(AND(Z518="Muy Baja",AB518="Leve"),AND(Z518="Muy Baja",AB518="Menor"),AND(Z518="Baja",AB518="Leve")),"Bajo",IF(OR(AND(Z518="Muy baja",AB518="Moderado"),AND(Z518="Baja",AB518="Menor"),AND(Z518="Baja",AB518="Moderado"),AND(Z518="Media",AB518="Leve"),AND(Z518="Media",AB518="Menor"),AND(Z518="Media",AB518="Moderado"),AND(Z518="Alta",AB518="Leve"),AND(Z518="Alta",AB518="Menor")),"Moderado",IF(OR(AND(Z518="Muy Baja",AB518="Mayor"),AND(Z518="Baja",AB518="Mayor"),AND(Z518="Media",AB518="Mayor"),AND(Z518="Alta",AB518="Moderado"),AND(Z518="Alta",AB518="Mayor"),AND(Z518="Muy Alta",AB518="Leve"),AND(Z518="Muy Alta",AB518="Menor"),AND(Z518="Muy Alta",AB518="Moderado"),AND(Z518="Muy Alta",AB518="Mayor")),"Alto",IF(OR(AND(Z518="Muy Baja",AB518="Catastrófico"),AND(Z518="Baja",AB518="Catastrófico"),AND(Z518="Media",AB518="Catastrófico"),AND(Z518="Alta",AB518="Catastrófico"),AND(Z518="Muy Alta",AB518="Catastrófico")),"Extremo","")))),"")</f>
        <v/>
      </c>
      <c r="AE518" s="234"/>
      <c r="AF518" s="235"/>
      <c r="AG518" s="236"/>
      <c r="AH518" s="236"/>
      <c r="AI518" s="236"/>
      <c r="AJ518" s="237"/>
      <c r="AK518" s="237"/>
      <c r="AL518" s="237"/>
      <c r="AM518" s="351"/>
      <c r="AN518" s="351"/>
    </row>
    <row r="519" spans="1:40" ht="17.25" thickBot="1">
      <c r="A519" s="343"/>
      <c r="B519" s="345"/>
      <c r="C519" s="345"/>
      <c r="D519" s="345"/>
      <c r="E519" s="345"/>
      <c r="F519" s="348"/>
      <c r="G519" s="345"/>
      <c r="H519" s="351"/>
      <c r="I519" s="354"/>
      <c r="J519" s="357"/>
      <c r="K519" s="360"/>
      <c r="L519" s="357"/>
      <c r="M519" s="354"/>
      <c r="N519" s="357"/>
      <c r="O519" s="363"/>
      <c r="P519" s="226">
        <v>6</v>
      </c>
      <c r="Q519" s="224"/>
      <c r="R519" s="227" t="str">
        <f t="shared" si="165"/>
        <v/>
      </c>
      <c r="S519" s="228"/>
      <c r="T519" s="228"/>
      <c r="U519" s="229" t="str">
        <f t="shared" si="216"/>
        <v/>
      </c>
      <c r="V519" s="228"/>
      <c r="W519" s="228"/>
      <c r="X519" s="228"/>
      <c r="Y519" s="230" t="str">
        <f t="shared" si="222"/>
        <v/>
      </c>
      <c r="Z519" s="231" t="str">
        <f t="shared" si="217"/>
        <v/>
      </c>
      <c r="AA519" s="232" t="str">
        <f t="shared" si="218"/>
        <v/>
      </c>
      <c r="AB519" s="231" t="str">
        <f t="shared" si="219"/>
        <v/>
      </c>
      <c r="AC519" s="232" t="str">
        <f t="shared" si="221"/>
        <v/>
      </c>
      <c r="AD519" s="233" t="str">
        <f t="shared" si="223"/>
        <v/>
      </c>
      <c r="AE519" s="234"/>
      <c r="AF519" s="235"/>
      <c r="AG519" s="236"/>
      <c r="AH519" s="236"/>
      <c r="AI519" s="236"/>
      <c r="AJ519" s="237"/>
      <c r="AK519" s="237"/>
      <c r="AL519" s="237"/>
      <c r="AM519" s="351"/>
      <c r="AN519" s="351"/>
    </row>
    <row r="520" spans="1:40" ht="90">
      <c r="A520" s="341">
        <v>85</v>
      </c>
      <c r="B520" s="344" t="s">
        <v>212</v>
      </c>
      <c r="C520" s="344" t="s">
        <v>125</v>
      </c>
      <c r="D520" s="344" t="s">
        <v>1291</v>
      </c>
      <c r="E520" s="344" t="s">
        <v>1292</v>
      </c>
      <c r="F520" s="347" t="s">
        <v>1293</v>
      </c>
      <c r="G520" s="344" t="s">
        <v>120</v>
      </c>
      <c r="H520" s="350">
        <v>148</v>
      </c>
      <c r="I520" s="353" t="str">
        <f>IF(H520&lt;=0,"",IF(H520&lt;=2,"Muy Baja",IF(H520&lt;=24,"Baja",IF(H520&lt;=500,"Media",IF(H520&lt;=5000,"Alta","Muy Alta")))))</f>
        <v>Media</v>
      </c>
      <c r="J520" s="356">
        <f>IF(I520="","",IF(I520="Muy Baja",0.2,IF(I520="Baja",0.4,IF(I520="Media",0.6,IF(I520="Alta",0.8,IF(I520="Muy Alta",1,))))))</f>
        <v>0.6</v>
      </c>
      <c r="K520" s="359" t="s">
        <v>138</v>
      </c>
      <c r="L520" s="356" t="str">
        <f>IF(NOT(ISERROR(MATCH(K520,'[13]Tabla Impacto'!$B$221:$B$223,0))),'[13]Tabla Impacto'!$F$223&amp;"Por favor no seleccionar los criterios de impacto(Afectación Económica o presupuestal y Pérdida Reputacional)",K520)</f>
        <v xml:space="preserve">     Entre 100 y 500 SMLMV </v>
      </c>
      <c r="M520" s="353" t="str">
        <f>IF(OR(L520='[13]Tabla Impacto'!$C$11,L520='[13]Tabla Impacto'!$D$11),"Leve",IF(OR(L520='[13]Tabla Impacto'!$C$12,L520='[13]Tabla Impacto'!$D$12),"Menor",IF(OR(L520='[13]Tabla Impacto'!$C$13,L520='[13]Tabla Impacto'!$D$13),"Moderado",IF(OR(L520='[13]Tabla Impacto'!$C$14,L520='[13]Tabla Impacto'!$D$14),"Mayor",IF(OR(L520='[13]Tabla Impacto'!$C$15,L520='[13]Tabla Impacto'!$D$15),"Catastrófico","")))))</f>
        <v>Mayor</v>
      </c>
      <c r="N520" s="356">
        <f>IF(M520="","",IF(M520="Leve",0.2,IF(M520="Menor",0.4,IF(M520="Moderado",0.6,IF(M520="Mayor",0.8,IF(M520="Catastrófico",1,))))))</f>
        <v>0.8</v>
      </c>
      <c r="O520" s="362" t="str">
        <f>IF(OR(AND(I520="Muy Baja",M520="Leve"),AND(I520="Muy Baja",M520="Menor"),AND(I520="Baja",M520="Leve")),"Bajo",IF(OR(AND(I520="Muy baja",M520="Moderado"),AND(I520="Baja",M520="Menor"),AND(I520="Baja",M520="Moderado"),AND(I520="Media",M520="Leve"),AND(I520="Media",M520="Menor"),AND(I520="Media",M520="Moderado"),AND(I520="Alta",M520="Leve"),AND(I520="Alta",M520="Menor")),"Moderado",IF(OR(AND(I520="Muy Baja",M520="Mayor"),AND(I520="Baja",M520="Mayor"),AND(I520="Media",M520="Mayor"),AND(I520="Alta",M520="Moderado"),AND(I520="Alta",M520="Mayor"),AND(I520="Muy Alta",M520="Leve"),AND(I520="Muy Alta",M520="Menor"),AND(I520="Muy Alta",M520="Moderado"),AND(I520="Muy Alta",M520="Mayor")),"Alto",IF(OR(AND(I520="Muy Baja",M520="Catastrófico"),AND(I520="Baja",M520="Catastrófico"),AND(I520="Media",M520="Catastrófico"),AND(I520="Alta",M520="Catastrófico"),AND(I520="Muy Alta",M520="Catastrófico")),"Extremo",""))))</f>
        <v>Alto</v>
      </c>
      <c r="P520" s="226">
        <v>1</v>
      </c>
      <c r="Q520" s="273" t="s">
        <v>1294</v>
      </c>
      <c r="R520" s="227" t="str">
        <f t="shared" si="165"/>
        <v>Probabilidad</v>
      </c>
      <c r="S520" s="228" t="s">
        <v>14</v>
      </c>
      <c r="T520" s="228" t="s">
        <v>9</v>
      </c>
      <c r="U520" s="229" t="str">
        <f t="shared" si="216"/>
        <v>40%</v>
      </c>
      <c r="V520" s="228" t="s">
        <v>19</v>
      </c>
      <c r="W520" s="228" t="s">
        <v>22</v>
      </c>
      <c r="X520" s="228" t="s">
        <v>111</v>
      </c>
      <c r="Y520" s="230">
        <f t="shared" ref="Y520" si="224">IFERROR(IF(R520="Probabilidad",(J520-(+J520*U520)),IF(R520="Impacto",J520,"")),"")</f>
        <v>0.36</v>
      </c>
      <c r="Z520" s="231" t="str">
        <f t="shared" si="217"/>
        <v>Baja</v>
      </c>
      <c r="AA520" s="232">
        <f t="shared" si="218"/>
        <v>0.36</v>
      </c>
      <c r="AB520" s="231" t="str">
        <f t="shared" si="219"/>
        <v>Mayor</v>
      </c>
      <c r="AC520" s="232">
        <f t="shared" ref="AC520" si="225">IFERROR(IF(R520="Impacto",(N520-(+N520*U520)),IF(R520="Probabilidad",N520,"")),"")</f>
        <v>0.8</v>
      </c>
      <c r="AD520" s="233" t="str">
        <f t="shared" si="223"/>
        <v>Alto</v>
      </c>
      <c r="AE520" s="234" t="s">
        <v>257</v>
      </c>
      <c r="AF520" s="235" t="s">
        <v>1295</v>
      </c>
      <c r="AG520" s="236" t="s">
        <v>1282</v>
      </c>
      <c r="AH520" s="236" t="s">
        <v>1283</v>
      </c>
      <c r="AI520" s="236" t="s">
        <v>1284</v>
      </c>
      <c r="AJ520" s="236" t="s">
        <v>1282</v>
      </c>
      <c r="AK520" s="237">
        <v>44680</v>
      </c>
      <c r="AL520" s="237">
        <v>44926</v>
      </c>
      <c r="AM520" s="350">
        <v>4068</v>
      </c>
      <c r="AN520" s="350"/>
    </row>
    <row r="521" spans="1:40" ht="105">
      <c r="A521" s="342"/>
      <c r="B521" s="345"/>
      <c r="C521" s="345"/>
      <c r="D521" s="345"/>
      <c r="E521" s="345"/>
      <c r="F521" s="348"/>
      <c r="G521" s="345"/>
      <c r="H521" s="351"/>
      <c r="I521" s="354"/>
      <c r="J521" s="357"/>
      <c r="K521" s="360"/>
      <c r="L521" s="357">
        <f ca="1">IF(NOT(ISERROR(MATCH(K521,_xlfn.ANCHORARRAY(#REF!),0))),#REF!&amp;"Por favor no seleccionar los criterios de impacto",K521)</f>
        <v>0</v>
      </c>
      <c r="M521" s="354"/>
      <c r="N521" s="357"/>
      <c r="O521" s="363"/>
      <c r="P521" s="226">
        <v>2</v>
      </c>
      <c r="Q521" s="272" t="s">
        <v>1296</v>
      </c>
      <c r="R521" s="227" t="str">
        <f t="shared" si="165"/>
        <v>Probabilidad</v>
      </c>
      <c r="S521" s="228" t="s">
        <v>14</v>
      </c>
      <c r="T521" s="228" t="s">
        <v>9</v>
      </c>
      <c r="U521" s="229" t="str">
        <f t="shared" si="216"/>
        <v>40%</v>
      </c>
      <c r="V521" s="228" t="s">
        <v>19</v>
      </c>
      <c r="W521" s="228" t="s">
        <v>22</v>
      </c>
      <c r="X521" s="228" t="s">
        <v>111</v>
      </c>
      <c r="Y521" s="230">
        <f t="shared" ref="Y521" si="226">IFERROR(IF(AND(R520="Probabilidad",R521="Probabilidad"),(AA520-(+AA520*U521)),IF(R521="Probabilidad",(J520-(+J520*U521)),IF(R521="Impacto",AA520,""))),"")</f>
        <v>0.216</v>
      </c>
      <c r="Z521" s="231" t="str">
        <f t="shared" si="217"/>
        <v>Baja</v>
      </c>
      <c r="AA521" s="232">
        <f t="shared" si="218"/>
        <v>0.216</v>
      </c>
      <c r="AB521" s="231" t="str">
        <f t="shared" si="219"/>
        <v>Mayor</v>
      </c>
      <c r="AC521" s="232">
        <f t="shared" ref="AC521" si="227">IFERROR(IF(AND(R520="Impacto",R521="Impacto"),(AC520-(+AC520*U521)),IF(R521="Impacto",(N520-(+N520*U521)),IF(R521="Probabilidad",AC520,""))),"")</f>
        <v>0.8</v>
      </c>
      <c r="AD521" s="233" t="str">
        <f t="shared" si="223"/>
        <v>Alto</v>
      </c>
      <c r="AE521" s="234" t="s">
        <v>257</v>
      </c>
      <c r="AF521" s="235" t="s">
        <v>1297</v>
      </c>
      <c r="AG521" s="236" t="s">
        <v>1282</v>
      </c>
      <c r="AH521" s="236" t="s">
        <v>1283</v>
      </c>
      <c r="AI521" s="236" t="s">
        <v>1284</v>
      </c>
      <c r="AJ521" s="236" t="s">
        <v>1282</v>
      </c>
      <c r="AK521" s="237">
        <v>44680</v>
      </c>
      <c r="AL521" s="237">
        <v>44926</v>
      </c>
      <c r="AM521" s="351"/>
      <c r="AN521" s="351"/>
    </row>
    <row r="522" spans="1:40" ht="105">
      <c r="A522" s="342"/>
      <c r="B522" s="345"/>
      <c r="C522" s="345"/>
      <c r="D522" s="345"/>
      <c r="E522" s="345"/>
      <c r="F522" s="348"/>
      <c r="G522" s="345"/>
      <c r="H522" s="351"/>
      <c r="I522" s="354"/>
      <c r="J522" s="357"/>
      <c r="K522" s="360"/>
      <c r="L522" s="357">
        <f ca="1">IF(NOT(ISERROR(MATCH(K522,_xlfn.ANCHORARRAY(#REF!),0))),#REF!&amp;"Por favor no seleccionar los criterios de impacto",K522)</f>
        <v>0</v>
      </c>
      <c r="M522" s="354"/>
      <c r="N522" s="357"/>
      <c r="O522" s="363"/>
      <c r="P522" s="226">
        <v>3</v>
      </c>
      <c r="Q522" s="272" t="s">
        <v>1298</v>
      </c>
      <c r="R522" s="227" t="str">
        <f t="shared" si="165"/>
        <v>Impacto</v>
      </c>
      <c r="S522" s="228" t="s">
        <v>16</v>
      </c>
      <c r="T522" s="228" t="s">
        <v>9</v>
      </c>
      <c r="U522" s="229" t="str">
        <f t="shared" si="216"/>
        <v>25%</v>
      </c>
      <c r="V522" s="228" t="s">
        <v>19</v>
      </c>
      <c r="W522" s="228" t="s">
        <v>22</v>
      </c>
      <c r="X522" s="228" t="s">
        <v>111</v>
      </c>
      <c r="Y522" s="230">
        <f t="shared" ref="Y522:Y525" si="228">IFERROR(IF(AND(R521="Probabilidad",R522="Probabilidad"),(AA521-(+AA521*U522)),IF(AND(R521="Impacto",R522="Probabilidad"),(AA520-(+AA520*U522)),IF(R522="Impacto",AA521,""))),"")</f>
        <v>0.216</v>
      </c>
      <c r="Z522" s="231" t="str">
        <f t="shared" si="217"/>
        <v>Baja</v>
      </c>
      <c r="AA522" s="232">
        <f t="shared" si="218"/>
        <v>0.216</v>
      </c>
      <c r="AB522" s="231" t="str">
        <f t="shared" si="219"/>
        <v>Moderado</v>
      </c>
      <c r="AC522" s="232">
        <f t="shared" ref="AC522:AC525" si="229">IFERROR(IF(AND(R521="Impacto",R522="Impacto"),(AC521-(+AC521*U522)),IF(AND(R521="Probabilidad",R522="Impacto"),(AC520-(+AC520*U522)),IF(R522="Probabilidad",AC521,""))),"")</f>
        <v>0.60000000000000009</v>
      </c>
      <c r="AD522" s="233" t="str">
        <f t="shared" si="223"/>
        <v>Moderado</v>
      </c>
      <c r="AE522" s="234" t="s">
        <v>257</v>
      </c>
      <c r="AF522" s="235" t="s">
        <v>1299</v>
      </c>
      <c r="AG522" s="236" t="s">
        <v>1282</v>
      </c>
      <c r="AH522" s="236" t="s">
        <v>1283</v>
      </c>
      <c r="AI522" s="236" t="s">
        <v>1284</v>
      </c>
      <c r="AJ522" s="236" t="s">
        <v>1282</v>
      </c>
      <c r="AK522" s="237">
        <v>44680</v>
      </c>
      <c r="AL522" s="237">
        <v>44926</v>
      </c>
      <c r="AM522" s="351"/>
      <c r="AN522" s="351"/>
    </row>
    <row r="523" spans="1:40">
      <c r="A523" s="342"/>
      <c r="B523" s="345"/>
      <c r="C523" s="345"/>
      <c r="D523" s="345"/>
      <c r="E523" s="345"/>
      <c r="F523" s="348"/>
      <c r="G523" s="345"/>
      <c r="H523" s="351"/>
      <c r="I523" s="354"/>
      <c r="J523" s="357"/>
      <c r="K523" s="360"/>
      <c r="L523" s="357">
        <f ca="1">IF(NOT(ISERROR(MATCH(K523,_xlfn.ANCHORARRAY(#REF!),0))),#REF!&amp;"Por favor no seleccionar los criterios de impacto",K523)</f>
        <v>0</v>
      </c>
      <c r="M523" s="354"/>
      <c r="N523" s="357"/>
      <c r="O523" s="363"/>
      <c r="P523" s="226">
        <v>4</v>
      </c>
      <c r="Q523" s="224"/>
      <c r="R523" s="227" t="str">
        <f t="shared" si="165"/>
        <v/>
      </c>
      <c r="S523" s="228"/>
      <c r="T523" s="228"/>
      <c r="U523" s="229" t="str">
        <f t="shared" si="216"/>
        <v/>
      </c>
      <c r="V523" s="228"/>
      <c r="W523" s="228"/>
      <c r="X523" s="228"/>
      <c r="Y523" s="230" t="str">
        <f t="shared" si="228"/>
        <v/>
      </c>
      <c r="Z523" s="231" t="str">
        <f t="shared" si="217"/>
        <v/>
      </c>
      <c r="AA523" s="232" t="str">
        <f t="shared" si="218"/>
        <v/>
      </c>
      <c r="AB523" s="231" t="str">
        <f t="shared" si="219"/>
        <v/>
      </c>
      <c r="AC523" s="232" t="str">
        <f t="shared" si="229"/>
        <v/>
      </c>
      <c r="AD523" s="233" t="str">
        <f t="shared" si="223"/>
        <v/>
      </c>
      <c r="AE523" s="234"/>
      <c r="AF523" s="235"/>
      <c r="AG523" s="236"/>
      <c r="AH523" s="236"/>
      <c r="AI523" s="236"/>
      <c r="AJ523" s="236"/>
      <c r="AK523" s="237"/>
      <c r="AL523" s="237"/>
      <c r="AM523" s="351"/>
      <c r="AN523" s="351"/>
    </row>
    <row r="524" spans="1:40">
      <c r="A524" s="342"/>
      <c r="B524" s="345"/>
      <c r="C524" s="345"/>
      <c r="D524" s="345"/>
      <c r="E524" s="345"/>
      <c r="F524" s="348"/>
      <c r="G524" s="345"/>
      <c r="H524" s="351"/>
      <c r="I524" s="354"/>
      <c r="J524" s="357"/>
      <c r="K524" s="360"/>
      <c r="L524" s="357">
        <f ca="1">IF(NOT(ISERROR(MATCH(K524,_xlfn.ANCHORARRAY(#REF!),0))),#REF!&amp;"Por favor no seleccionar los criterios de impacto",K524)</f>
        <v>0</v>
      </c>
      <c r="M524" s="354"/>
      <c r="N524" s="357"/>
      <c r="O524" s="363"/>
      <c r="P524" s="226">
        <v>5</v>
      </c>
      <c r="Q524" s="224"/>
      <c r="R524" s="227" t="str">
        <f t="shared" si="165"/>
        <v/>
      </c>
      <c r="S524" s="228"/>
      <c r="T524" s="228"/>
      <c r="U524" s="229" t="str">
        <f t="shared" si="216"/>
        <v/>
      </c>
      <c r="V524" s="228"/>
      <c r="W524" s="228"/>
      <c r="X524" s="228"/>
      <c r="Y524" s="230" t="str">
        <f t="shared" si="228"/>
        <v/>
      </c>
      <c r="Z524" s="231" t="str">
        <f t="shared" si="217"/>
        <v/>
      </c>
      <c r="AA524" s="232" t="str">
        <f t="shared" si="218"/>
        <v/>
      </c>
      <c r="AB524" s="231" t="str">
        <f t="shared" si="219"/>
        <v/>
      </c>
      <c r="AC524" s="232" t="str">
        <f t="shared" si="229"/>
        <v/>
      </c>
      <c r="AD524" s="233" t="str">
        <f t="shared" si="223"/>
        <v/>
      </c>
      <c r="AE524" s="234"/>
      <c r="AF524" s="235"/>
      <c r="AG524" s="236"/>
      <c r="AH524" s="236"/>
      <c r="AI524" s="236"/>
      <c r="AJ524" s="236"/>
      <c r="AK524" s="237"/>
      <c r="AL524" s="237"/>
      <c r="AM524" s="351"/>
      <c r="AN524" s="351"/>
    </row>
    <row r="525" spans="1:40">
      <c r="A525" s="343"/>
      <c r="B525" s="345"/>
      <c r="C525" s="345"/>
      <c r="D525" s="345"/>
      <c r="E525" s="345"/>
      <c r="F525" s="348"/>
      <c r="G525" s="345"/>
      <c r="H525" s="351"/>
      <c r="I525" s="354"/>
      <c r="J525" s="357"/>
      <c r="K525" s="360"/>
      <c r="L525" s="357"/>
      <c r="M525" s="354"/>
      <c r="N525" s="357"/>
      <c r="O525" s="363"/>
      <c r="P525" s="226">
        <v>6</v>
      </c>
      <c r="Q525" s="224"/>
      <c r="R525" s="227" t="str">
        <f t="shared" si="165"/>
        <v/>
      </c>
      <c r="S525" s="228"/>
      <c r="T525" s="228"/>
      <c r="U525" s="229" t="str">
        <f t="shared" si="216"/>
        <v/>
      </c>
      <c r="V525" s="228"/>
      <c r="W525" s="228"/>
      <c r="X525" s="228"/>
      <c r="Y525" s="230" t="str">
        <f t="shared" si="228"/>
        <v/>
      </c>
      <c r="Z525" s="231" t="str">
        <f t="shared" si="217"/>
        <v/>
      </c>
      <c r="AA525" s="232" t="str">
        <f t="shared" si="218"/>
        <v/>
      </c>
      <c r="AB525" s="231" t="str">
        <f t="shared" si="219"/>
        <v/>
      </c>
      <c r="AC525" s="232" t="str">
        <f t="shared" si="229"/>
        <v/>
      </c>
      <c r="AD525" s="233" t="str">
        <f t="shared" si="223"/>
        <v/>
      </c>
      <c r="AE525" s="234"/>
      <c r="AF525" s="235"/>
      <c r="AG525" s="236"/>
      <c r="AH525" s="236"/>
      <c r="AI525" s="236"/>
      <c r="AJ525" s="236"/>
      <c r="AK525" s="237"/>
      <c r="AL525" s="237"/>
      <c r="AM525" s="351"/>
      <c r="AN525" s="351"/>
    </row>
    <row r="526" spans="1:40" ht="55.5" customHeight="1">
      <c r="A526" s="341">
        <v>86</v>
      </c>
      <c r="B526" s="344" t="s">
        <v>212</v>
      </c>
      <c r="C526" s="344" t="s">
        <v>123</v>
      </c>
      <c r="D526" s="344" t="s">
        <v>1300</v>
      </c>
      <c r="E526" s="344" t="s">
        <v>1301</v>
      </c>
      <c r="F526" s="347" t="s">
        <v>1302</v>
      </c>
      <c r="G526" s="344" t="s">
        <v>120</v>
      </c>
      <c r="H526" s="350">
        <v>2400</v>
      </c>
      <c r="I526" s="353" t="str">
        <f>IF(H526&lt;=0,"",IF(H526&lt;=2,"Muy Baja",IF(H526&lt;=24,"Baja",IF(H526&lt;=500,"Media",IF(H526&lt;=5000,"Alta","Muy Alta")))))</f>
        <v>Alta</v>
      </c>
      <c r="J526" s="356">
        <f>IF(I526="","",IF(I526="Muy Baja",0.2,IF(I526="Baja",0.4,IF(I526="Media",0.6,IF(I526="Alta",0.8,IF(I526="Muy Alta",1,))))))</f>
        <v>0.8</v>
      </c>
      <c r="K526" s="359" t="s">
        <v>143</v>
      </c>
      <c r="L526" s="356" t="str">
        <f ca="1">IF(NOT(ISERROR(MATCH(K526,'[28]Tabla Impacto'!$B$221:$B$223,0))),'[28]Tabla Impacto'!$F$223&amp;"Por favor no seleccionar los criterios de impacto(Afectación Económica o presupuestal y Pérdida Reputacional)",K526)</f>
        <v xml:space="preserve">     El riesgo afecta la imagen de de la entidad con efecto publicitario sostenido a nivel de sector administrativo, nivel departamental o municipal</v>
      </c>
      <c r="M526" s="353" t="str">
        <f ca="1">IF(OR(L526='[28]Tabla Impacto'!$C$11,L526='[28]Tabla Impacto'!$D$11),"Leve",IF(OR(L526='[28]Tabla Impacto'!$C$12,L526='[28]Tabla Impacto'!$D$12),"Menor",IF(OR(L526='[28]Tabla Impacto'!$C$13,L526='[28]Tabla Impacto'!$D$13),"Moderado",IF(OR(L526='[28]Tabla Impacto'!$C$14,L526='[28]Tabla Impacto'!$D$14),"Mayor",IF(OR(L526='[28]Tabla Impacto'!$C$15,L526='[28]Tabla Impacto'!$D$15),"Catastrófico","")))))</f>
        <v>Mayor</v>
      </c>
      <c r="N526" s="356">
        <f ca="1">IF(M526="","",IF(M526="Leve",0.2,IF(M526="Menor",0.4,IF(M526="Moderado",0.6,IF(M526="Mayor",0.8,IF(M526="Catastrófico",1,))))))</f>
        <v>0.8</v>
      </c>
      <c r="O526" s="362" t="str">
        <f ca="1">IF(OR(AND(I526="Muy Baja",M526="Leve"),AND(I526="Muy Baja",M526="Menor"),AND(I526="Baja",M526="Leve")),"Bajo",IF(OR(AND(I526="Muy baja",M526="Moderado"),AND(I526="Baja",M526="Menor"),AND(I526="Baja",M526="Moderado"),AND(I526="Media",M526="Leve"),AND(I526="Media",M526="Menor"),AND(I526="Media",M526="Moderado"),AND(I526="Alta",M526="Leve"),AND(I526="Alta",M526="Menor")),"Moderado",IF(OR(AND(I526="Muy Baja",M526="Mayor"),AND(I526="Baja",M526="Mayor"),AND(I526="Media",M526="Mayor"),AND(I526="Alta",M526="Moderado"),AND(I526="Alta",M526="Mayor"),AND(I526="Muy Alta",M526="Leve"),AND(I526="Muy Alta",M526="Menor"),AND(I526="Muy Alta",M526="Moderado"),AND(I526="Muy Alta",M526="Mayor")),"Alto",IF(OR(AND(I526="Muy Baja",M526="Catastrófico"),AND(I526="Baja",M526="Catastrófico"),AND(I526="Media",M526="Catastrófico"),AND(I526="Alta",M526="Catastrófico"),AND(I526="Muy Alta",M526="Catastrófico")),"Extremo",""))))</f>
        <v>Alto</v>
      </c>
      <c r="P526" s="226">
        <v>1</v>
      </c>
      <c r="Q526" s="224" t="s">
        <v>1349</v>
      </c>
      <c r="R526" s="227" t="str">
        <f t="shared" si="165"/>
        <v>Impacto</v>
      </c>
      <c r="S526" s="228" t="s">
        <v>16</v>
      </c>
      <c r="T526" s="228" t="s">
        <v>9</v>
      </c>
      <c r="U526" s="229" t="str">
        <f>IF(AND(S526="Preventivo",T526="Automático"),"50%",IF(AND(S526="Preventivo",T526="Manual"),"40%",IF(AND(S526="Detectivo",T526="Automático"),"40%",IF(AND(S526="Detectivo",T526="Manual"),"30%",IF(AND(S526="Correctivo",T526="Automático"),"35%",IF(AND(S526="Correctivo",T526="Manual"),"25%",""))))))</f>
        <v>25%</v>
      </c>
      <c r="V526" s="228" t="s">
        <v>20</v>
      </c>
      <c r="W526" s="228" t="s">
        <v>22</v>
      </c>
      <c r="X526" s="228" t="s">
        <v>111</v>
      </c>
      <c r="Y526" s="230">
        <f>IFERROR(IF(R526="Probabilidad",(J526-(+J526*U526)),IF(R526="Impacto",J526,"")),"")</f>
        <v>0.8</v>
      </c>
      <c r="Z526" s="231" t="str">
        <f>IFERROR(IF(Y526="","",IF(Y526&lt;=0.2,"Muy Baja",IF(Y526&lt;=0.4,"Baja",IF(Y526&lt;=0.6,"Media",IF(Y526&lt;=0.8,"Alta","Muy Alta"))))),"")</f>
        <v>Alta</v>
      </c>
      <c r="AA526" s="232">
        <f>+Y526</f>
        <v>0.8</v>
      </c>
      <c r="AB526" s="231" t="str">
        <f ca="1">IFERROR(IF(AC526="","",IF(AC526&lt;=0.2,"Leve",IF(AC526&lt;=0.4,"Menor",IF(AC526&lt;=0.6,"Moderado",IF(AC526&lt;=0.8,"Mayor","Catastrófico"))))),"")</f>
        <v>Moderado</v>
      </c>
      <c r="AC526" s="232">
        <f ca="1">IFERROR(IF(R526="Impacto",(N526-(+N526*U526)),IF(R526="Probabilidad",N526,"")),"")</f>
        <v>0.60000000000000009</v>
      </c>
      <c r="AD526" s="233" t="str">
        <f ca="1">IFERROR(IF(OR(AND(Z526="Muy Baja",AB526="Leve"),AND(Z526="Muy Baja",AB526="Menor"),AND(Z526="Baja",AB526="Leve")),"Bajo",IF(OR(AND(Z526="Muy baja",AB526="Moderado"),AND(Z526="Baja",AB526="Menor"),AND(Z526="Baja",AB526="Moderado"),AND(Z526="Media",AB526="Leve"),AND(Z526="Media",AB526="Menor"),AND(Z526="Media",AB526="Moderado"),AND(Z526="Alta",AB526="Leve"),AND(Z526="Alta",AB526="Menor")),"Moderado",IF(OR(AND(Z526="Muy Baja",AB526="Mayor"),AND(Z526="Baja",AB526="Mayor"),AND(Z526="Media",AB526="Mayor"),AND(Z526="Alta",AB526="Moderado"),AND(Z526="Alta",AB526="Mayor"),AND(Z526="Muy Alta",AB526="Leve"),AND(Z526="Muy Alta",AB526="Menor"),AND(Z526="Muy Alta",AB526="Moderado"),AND(Z526="Muy Alta",AB526="Mayor")),"Alto",IF(OR(AND(Z526="Muy Baja",AB526="Catastrófico"),AND(Z526="Baja",AB526="Catastrófico"),AND(Z526="Media",AB526="Catastrófico"),AND(Z526="Alta",AB526="Catastrófico"),AND(Z526="Muy Alta",AB526="Catastrófico")),"Extremo","")))),"")</f>
        <v>Alto</v>
      </c>
      <c r="AE526" s="297" t="s">
        <v>257</v>
      </c>
      <c r="AF526" s="298" t="s">
        <v>1303</v>
      </c>
      <c r="AG526" s="236" t="s">
        <v>1304</v>
      </c>
      <c r="AH526" s="236" t="s">
        <v>1305</v>
      </c>
      <c r="AI526" s="236" t="s">
        <v>1306</v>
      </c>
      <c r="AJ526" s="237" t="s">
        <v>1307</v>
      </c>
      <c r="AK526" s="237" t="s">
        <v>1129</v>
      </c>
      <c r="AL526" s="237">
        <v>44926</v>
      </c>
      <c r="AM526" s="350">
        <v>4074</v>
      </c>
      <c r="AN526" s="350"/>
    </row>
    <row r="527" spans="1:40" ht="67.5">
      <c r="A527" s="342"/>
      <c r="B527" s="345"/>
      <c r="C527" s="345"/>
      <c r="D527" s="345"/>
      <c r="E527" s="345"/>
      <c r="F527" s="348"/>
      <c r="G527" s="345"/>
      <c r="H527" s="351"/>
      <c r="I527" s="354"/>
      <c r="J527" s="357"/>
      <c r="K527" s="360"/>
      <c r="L527" s="357">
        <f ca="1">IF(NOT(ISERROR(MATCH(K527,_xlfn.ANCHORARRAY(F547),0))),J549&amp;"Por favor no seleccionar los criterios de impacto",K527)</f>
        <v>0</v>
      </c>
      <c r="M527" s="354"/>
      <c r="N527" s="357"/>
      <c r="O527" s="363"/>
      <c r="P527" s="226">
        <v>2</v>
      </c>
      <c r="Q527" s="224" t="s">
        <v>1350</v>
      </c>
      <c r="R527" s="227" t="str">
        <f t="shared" si="165"/>
        <v>Probabilidad</v>
      </c>
      <c r="S527" s="228" t="s">
        <v>14</v>
      </c>
      <c r="T527" s="228" t="s">
        <v>9</v>
      </c>
      <c r="U527" s="229" t="str">
        <f t="shared" ref="U527:U531" si="230">IF(AND(S527="Preventivo",T527="Automático"),"50%",IF(AND(S527="Preventivo",T527="Manual"),"40%",IF(AND(S527="Detectivo",T527="Automático"),"40%",IF(AND(S527="Detectivo",T527="Manual"),"30%",IF(AND(S527="Correctivo",T527="Automático"),"35%",IF(AND(S527="Correctivo",T527="Manual"),"25%",""))))))</f>
        <v>40%</v>
      </c>
      <c r="V527" s="228" t="s">
        <v>20</v>
      </c>
      <c r="W527" s="228" t="s">
        <v>22</v>
      </c>
      <c r="X527" s="228" t="s">
        <v>111</v>
      </c>
      <c r="Y527" s="230">
        <f>IFERROR(IF(AND(R526="Probabilidad",R527="Probabilidad"),(AA526-(+AA526*U527)),IF(R527="Probabilidad",(J526-(+J526*U527)),IF(R527="Impacto",AA526,""))),"")</f>
        <v>0.48</v>
      </c>
      <c r="Z527" s="231" t="str">
        <f t="shared" ref="Z527:Z531" si="231">IFERROR(IF(Y527="","",IF(Y527&lt;=0.2,"Muy Baja",IF(Y527&lt;=0.4,"Baja",IF(Y527&lt;=0.6,"Media",IF(Y527&lt;=0.8,"Alta","Muy Alta"))))),"")</f>
        <v>Media</v>
      </c>
      <c r="AA527" s="232">
        <f t="shared" ref="AA527:AA531" si="232">+Y527</f>
        <v>0.48</v>
      </c>
      <c r="AB527" s="231" t="str">
        <f t="shared" ref="AB527:AB531" ca="1" si="233">IFERROR(IF(AC527="","",IF(AC527&lt;=0.2,"Leve",IF(AC527&lt;=0.4,"Menor",IF(AC527&lt;=0.6,"Moderado",IF(AC527&lt;=0.8,"Mayor","Catastrófico"))))),"")</f>
        <v>Moderado</v>
      </c>
      <c r="AC527" s="232">
        <f ca="1">IFERROR(IF(AND(R526="Impacto",R527="Impacto"),(AC526-(+AC526*U527)),IF(R527="Impacto",(N526-(+N526*U527)),IF(R527="Probabilidad",AC526,""))),"")</f>
        <v>0.60000000000000009</v>
      </c>
      <c r="AD527" s="233" t="str">
        <f t="shared" ref="AD527:AD528" ca="1" si="234">IFERROR(IF(OR(AND(Z527="Muy Baja",AB527="Leve"),AND(Z527="Muy Baja",AB527="Menor"),AND(Z527="Baja",AB527="Leve")),"Bajo",IF(OR(AND(Z527="Muy baja",AB527="Moderado"),AND(Z527="Baja",AB527="Menor"),AND(Z527="Baja",AB527="Moderado"),AND(Z527="Media",AB527="Leve"),AND(Z527="Media",AB527="Menor"),AND(Z527="Media",AB527="Moderado"),AND(Z527="Alta",AB527="Leve"),AND(Z527="Alta",AB527="Menor")),"Moderado",IF(OR(AND(Z527="Muy Baja",AB527="Mayor"),AND(Z527="Baja",AB527="Mayor"),AND(Z527="Media",AB527="Mayor"),AND(Z527="Alta",AB527="Moderado"),AND(Z527="Alta",AB527="Mayor"),AND(Z527="Muy Alta",AB527="Leve"),AND(Z527="Muy Alta",AB527="Menor"),AND(Z527="Muy Alta",AB527="Moderado"),AND(Z527="Muy Alta",AB527="Mayor")),"Alto",IF(OR(AND(Z527="Muy Baja",AB527="Catastrófico"),AND(Z527="Baja",AB527="Catastrófico"),AND(Z527="Media",AB527="Catastrófico"),AND(Z527="Alta",AB527="Catastrófico"),AND(Z527="Muy Alta",AB527="Catastrófico")),"Extremo","")))),"")</f>
        <v>Moderado</v>
      </c>
      <c r="AE527" s="297" t="s">
        <v>257</v>
      </c>
      <c r="AF527" s="298" t="s">
        <v>1308</v>
      </c>
      <c r="AG527" s="236" t="s">
        <v>1304</v>
      </c>
      <c r="AH527" s="236" t="s">
        <v>1305</v>
      </c>
      <c r="AI527" s="236" t="s">
        <v>1306</v>
      </c>
      <c r="AJ527" s="237" t="s">
        <v>1307</v>
      </c>
      <c r="AK527" s="237" t="s">
        <v>1129</v>
      </c>
      <c r="AL527" s="237">
        <v>44926</v>
      </c>
      <c r="AM527" s="351"/>
      <c r="AN527" s="351"/>
    </row>
    <row r="528" spans="1:40" ht="81">
      <c r="A528" s="342"/>
      <c r="B528" s="345"/>
      <c r="C528" s="345"/>
      <c r="D528" s="345"/>
      <c r="E528" s="345"/>
      <c r="F528" s="348"/>
      <c r="G528" s="345"/>
      <c r="H528" s="351"/>
      <c r="I528" s="354"/>
      <c r="J528" s="357"/>
      <c r="K528" s="360"/>
      <c r="L528" s="357">
        <f ca="1">IF(NOT(ISERROR(MATCH(K528,_xlfn.ANCHORARRAY(F548),0))),J550&amp;"Por favor no seleccionar los criterios de impacto",K528)</f>
        <v>0</v>
      </c>
      <c r="M528" s="354"/>
      <c r="N528" s="357"/>
      <c r="O528" s="363"/>
      <c r="P528" s="226">
        <v>3</v>
      </c>
      <c r="Q528" s="224" t="s">
        <v>1351</v>
      </c>
      <c r="R528" s="227" t="str">
        <f t="shared" si="165"/>
        <v>Impacto</v>
      </c>
      <c r="S528" s="228" t="s">
        <v>16</v>
      </c>
      <c r="T528" s="228" t="s">
        <v>9</v>
      </c>
      <c r="U528" s="229" t="str">
        <f t="shared" si="230"/>
        <v>25%</v>
      </c>
      <c r="V528" s="228" t="s">
        <v>20</v>
      </c>
      <c r="W528" s="228" t="s">
        <v>22</v>
      </c>
      <c r="X528" s="228" t="s">
        <v>111</v>
      </c>
      <c r="Y528" s="230">
        <f>IFERROR(IF(AND(R527="Probabilidad",R528="Probabilidad"),(AA527-(+AA527*U528)),IF(AND(R527="Impacto",R528="Probabilidad"),(AA526-(+AA526*U528)),IF(R528="Impacto",AA527,""))),"")</f>
        <v>0.48</v>
      </c>
      <c r="Z528" s="231" t="str">
        <f t="shared" si="231"/>
        <v>Media</v>
      </c>
      <c r="AA528" s="232">
        <f t="shared" si="232"/>
        <v>0.48</v>
      </c>
      <c r="AB528" s="231" t="str">
        <f t="shared" ca="1" si="233"/>
        <v>Moderado</v>
      </c>
      <c r="AC528" s="232">
        <f ca="1">IFERROR(IF(AND(R527="Impacto",R528="Impacto"),(AC527-(+AC527*U528)),IF(AND(R527="Probabilidad",R528="Impacto"),(AC526-(+AC526*U528)),IF(R528="Probabilidad",AC527,""))),"")</f>
        <v>0.45000000000000007</v>
      </c>
      <c r="AD528" s="233" t="str">
        <f t="shared" ca="1" si="234"/>
        <v>Moderado</v>
      </c>
      <c r="AE528" s="297" t="s">
        <v>257</v>
      </c>
      <c r="AF528" s="298" t="s">
        <v>1309</v>
      </c>
      <c r="AG528" s="236" t="s">
        <v>1304</v>
      </c>
      <c r="AH528" s="236" t="s">
        <v>1305</v>
      </c>
      <c r="AI528" s="236" t="s">
        <v>1306</v>
      </c>
      <c r="AJ528" s="237" t="s">
        <v>1307</v>
      </c>
      <c r="AK528" s="237" t="s">
        <v>1129</v>
      </c>
      <c r="AL528" s="237">
        <v>44926</v>
      </c>
      <c r="AM528" s="351"/>
      <c r="AN528" s="351"/>
    </row>
    <row r="529" spans="1:40" ht="67.5" customHeight="1">
      <c r="A529" s="342"/>
      <c r="B529" s="345"/>
      <c r="C529" s="345"/>
      <c r="D529" s="345"/>
      <c r="E529" s="345"/>
      <c r="F529" s="348"/>
      <c r="G529" s="345"/>
      <c r="H529" s="351"/>
      <c r="I529" s="354"/>
      <c r="J529" s="357"/>
      <c r="K529" s="360"/>
      <c r="L529" s="357">
        <f ca="1">IF(NOT(ISERROR(MATCH(K529,_xlfn.ANCHORARRAY(F549),0))),J551&amp;"Por favor no seleccionar los criterios de impacto",K529)</f>
        <v>0</v>
      </c>
      <c r="M529" s="354"/>
      <c r="N529" s="357"/>
      <c r="O529" s="363"/>
      <c r="P529" s="226">
        <v>4</v>
      </c>
      <c r="Q529" s="224" t="s">
        <v>1352</v>
      </c>
      <c r="R529" s="227" t="str">
        <f t="shared" si="165"/>
        <v>Probabilidad</v>
      </c>
      <c r="S529" s="228" t="s">
        <v>14</v>
      </c>
      <c r="T529" s="228" t="s">
        <v>9</v>
      </c>
      <c r="U529" s="229" t="str">
        <f t="shared" si="230"/>
        <v>40%</v>
      </c>
      <c r="V529" s="228" t="s">
        <v>20</v>
      </c>
      <c r="W529" s="228" t="s">
        <v>22</v>
      </c>
      <c r="X529" s="228" t="s">
        <v>111</v>
      </c>
      <c r="Y529" s="230">
        <f>IFERROR(IF(AND(R528="Probabilidad",R529="Probabilidad"),(AA528-(+AA528*U529)),IF(AND(R528="Impacto",R529="Probabilidad"),(AA527-(+AA527*U529)),IF(R529="Impacto",AA528,""))),"")</f>
        <v>0.28799999999999998</v>
      </c>
      <c r="Z529" s="231" t="str">
        <f t="shared" si="231"/>
        <v>Baja</v>
      </c>
      <c r="AA529" s="232">
        <f t="shared" si="232"/>
        <v>0.28799999999999998</v>
      </c>
      <c r="AB529" s="231" t="str">
        <f t="shared" ca="1" si="233"/>
        <v>Moderado</v>
      </c>
      <c r="AC529" s="232">
        <f t="shared" ref="AC529:AC531" ca="1" si="235">IFERROR(IF(AND(R528="Impacto",R529="Impacto"),(AC528-(+AC528*U529)),IF(AND(R528="Probabilidad",R529="Impacto"),(AC527-(+AC527*U529)),IF(R529="Probabilidad",AC528,""))),"")</f>
        <v>0.45000000000000007</v>
      </c>
      <c r="AD529" s="233" t="str">
        <f ca="1">IFERROR(IF(OR(AND(Z529="Muy Baja",AB529="Leve"),AND(Z529="Muy Baja",AB529="Menor"),AND(Z529="Baja",AB529="Leve")),"Bajo",IF(OR(AND(Z529="Muy baja",AB529="Moderado"),AND(Z529="Baja",AB529="Menor"),AND(Z529="Baja",AB529="Moderado"),AND(Z529="Media",AB529="Leve"),AND(Z529="Media",AB529="Menor"),AND(Z529="Media",AB529="Moderado"),AND(Z529="Alta",AB529="Leve"),AND(Z529="Alta",AB529="Menor")),"Moderado",IF(OR(AND(Z529="Muy Baja",AB529="Mayor"),AND(Z529="Baja",AB529="Mayor"),AND(Z529="Media",AB529="Mayor"),AND(Z529="Alta",AB529="Moderado"),AND(Z529="Alta",AB529="Mayor"),AND(Z529="Muy Alta",AB529="Leve"),AND(Z529="Muy Alta",AB529="Menor"),AND(Z529="Muy Alta",AB529="Moderado"),AND(Z529="Muy Alta",AB529="Mayor")),"Alto",IF(OR(AND(Z529="Muy Baja",AB529="Catastrófico"),AND(Z529="Baja",AB529="Catastrófico"),AND(Z529="Media",AB529="Catastrófico"),AND(Z529="Alta",AB529="Catastrófico"),AND(Z529="Muy Alta",AB529="Catastrófico")),"Extremo","")))),"")</f>
        <v>Moderado</v>
      </c>
      <c r="AE529" s="297" t="s">
        <v>257</v>
      </c>
      <c r="AF529" s="298"/>
      <c r="AG529" s="236"/>
      <c r="AH529" s="236"/>
      <c r="AI529" s="236"/>
      <c r="AJ529" s="237"/>
      <c r="AK529" s="237"/>
      <c r="AL529" s="237"/>
      <c r="AM529" s="351"/>
      <c r="AN529" s="351"/>
    </row>
    <row r="530" spans="1:40" ht="81">
      <c r="A530" s="342"/>
      <c r="B530" s="345"/>
      <c r="C530" s="345"/>
      <c r="D530" s="345"/>
      <c r="E530" s="345"/>
      <c r="F530" s="348"/>
      <c r="G530" s="345"/>
      <c r="H530" s="351"/>
      <c r="I530" s="354"/>
      <c r="J530" s="357"/>
      <c r="K530" s="360"/>
      <c r="L530" s="357"/>
      <c r="M530" s="354"/>
      <c r="N530" s="357"/>
      <c r="O530" s="363"/>
      <c r="P530" s="226">
        <v>5</v>
      </c>
      <c r="Q530" s="224" t="s">
        <v>1310</v>
      </c>
      <c r="R530" s="227" t="str">
        <f t="shared" si="165"/>
        <v>Impacto</v>
      </c>
      <c r="S530" s="228" t="s">
        <v>16</v>
      </c>
      <c r="T530" s="228" t="s">
        <v>9</v>
      </c>
      <c r="U530" s="229" t="str">
        <f t="shared" si="230"/>
        <v>25%</v>
      </c>
      <c r="V530" s="228" t="s">
        <v>20</v>
      </c>
      <c r="W530" s="228" t="s">
        <v>22</v>
      </c>
      <c r="X530" s="228" t="s">
        <v>111</v>
      </c>
      <c r="Y530" s="230">
        <f t="shared" ref="Y530:Y531" si="236">IFERROR(IF(AND(R529="Probabilidad",R530="Probabilidad"),(AA529-(+AA529*U530)),IF(AND(R529="Impacto",R530="Probabilidad"),(AA528-(+AA528*U530)),IF(R530="Impacto",AA529,""))),"")</f>
        <v>0.28799999999999998</v>
      </c>
      <c r="Z530" s="231" t="str">
        <f t="shared" si="231"/>
        <v>Baja</v>
      </c>
      <c r="AA530" s="232">
        <f t="shared" si="232"/>
        <v>0.28799999999999998</v>
      </c>
      <c r="AB530" s="231" t="str">
        <f t="shared" ca="1" si="233"/>
        <v>Menor</v>
      </c>
      <c r="AC530" s="232">
        <f t="shared" ca="1" si="235"/>
        <v>0.33750000000000002</v>
      </c>
      <c r="AD530" s="233" t="str">
        <f t="shared" ref="AD530:AD531" ca="1" si="237">IFERROR(IF(OR(AND(Z530="Muy Baja",AB530="Leve"),AND(Z530="Muy Baja",AB530="Menor"),AND(Z530="Baja",AB530="Leve")),"Bajo",IF(OR(AND(Z530="Muy baja",AB530="Moderado"),AND(Z530="Baja",AB530="Menor"),AND(Z530="Baja",AB530="Moderado"),AND(Z530="Media",AB530="Leve"),AND(Z530="Media",AB530="Menor"),AND(Z530="Media",AB530="Moderado"),AND(Z530="Alta",AB530="Leve"),AND(Z530="Alta",AB530="Menor")),"Moderado",IF(OR(AND(Z530="Muy Baja",AB530="Mayor"),AND(Z530="Baja",AB530="Mayor"),AND(Z530="Media",AB530="Mayor"),AND(Z530="Alta",AB530="Moderado"),AND(Z530="Alta",AB530="Mayor"),AND(Z530="Muy Alta",AB530="Leve"),AND(Z530="Muy Alta",AB530="Menor"),AND(Z530="Muy Alta",AB530="Moderado"),AND(Z530="Muy Alta",AB530="Mayor")),"Alto",IF(OR(AND(Z530="Muy Baja",AB530="Catastrófico"),AND(Z530="Baja",AB530="Catastrófico"),AND(Z530="Media",AB530="Catastrófico"),AND(Z530="Alta",AB530="Catastrófico"),AND(Z530="Muy Alta",AB530="Catastrófico")),"Extremo","")))),"")</f>
        <v>Moderado</v>
      </c>
      <c r="AE530" s="297" t="s">
        <v>257</v>
      </c>
      <c r="AF530" s="298"/>
      <c r="AG530" s="236"/>
      <c r="AH530" s="236"/>
      <c r="AI530" s="236"/>
      <c r="AJ530" s="237"/>
      <c r="AK530" s="237"/>
      <c r="AL530" s="237"/>
      <c r="AM530" s="351"/>
      <c r="AN530" s="351"/>
    </row>
    <row r="531" spans="1:40" ht="81.75" thickBot="1">
      <c r="A531" s="343"/>
      <c r="B531" s="345"/>
      <c r="C531" s="345"/>
      <c r="D531" s="345"/>
      <c r="E531" s="345"/>
      <c r="F531" s="348"/>
      <c r="G531" s="345"/>
      <c r="H531" s="351"/>
      <c r="I531" s="354"/>
      <c r="J531" s="357"/>
      <c r="K531" s="360"/>
      <c r="L531" s="357"/>
      <c r="M531" s="354"/>
      <c r="N531" s="357"/>
      <c r="O531" s="363"/>
      <c r="P531" s="226">
        <v>6</v>
      </c>
      <c r="Q531" s="224" t="s">
        <v>1311</v>
      </c>
      <c r="R531" s="227" t="str">
        <f t="shared" si="165"/>
        <v>Probabilidad</v>
      </c>
      <c r="S531" s="228" t="s">
        <v>14</v>
      </c>
      <c r="T531" s="228" t="s">
        <v>9</v>
      </c>
      <c r="U531" s="229" t="str">
        <f t="shared" si="230"/>
        <v>40%</v>
      </c>
      <c r="V531" s="228" t="s">
        <v>20</v>
      </c>
      <c r="W531" s="228" t="s">
        <v>22</v>
      </c>
      <c r="X531" s="228" t="s">
        <v>111</v>
      </c>
      <c r="Y531" s="230">
        <f t="shared" si="236"/>
        <v>0.17279999999999998</v>
      </c>
      <c r="Z531" s="231" t="str">
        <f t="shared" si="231"/>
        <v>Muy Baja</v>
      </c>
      <c r="AA531" s="232">
        <f t="shared" si="232"/>
        <v>0.17279999999999998</v>
      </c>
      <c r="AB531" s="231" t="str">
        <f t="shared" ca="1" si="233"/>
        <v>Menor</v>
      </c>
      <c r="AC531" s="232">
        <f t="shared" ca="1" si="235"/>
        <v>0.33750000000000002</v>
      </c>
      <c r="AD531" s="233" t="str">
        <f t="shared" ca="1" si="237"/>
        <v>Bajo</v>
      </c>
      <c r="AE531" s="297" t="s">
        <v>31</v>
      </c>
      <c r="AF531" s="298"/>
      <c r="AG531" s="236"/>
      <c r="AH531" s="236"/>
      <c r="AI531" s="236"/>
      <c r="AJ531" s="237"/>
      <c r="AK531" s="237"/>
      <c r="AL531" s="237"/>
      <c r="AM531" s="351"/>
      <c r="AN531" s="351"/>
    </row>
    <row r="532" spans="1:40" ht="68.25" thickBot="1">
      <c r="A532" s="341">
        <v>87</v>
      </c>
      <c r="B532" s="344" t="s">
        <v>212</v>
      </c>
      <c r="C532" s="344" t="s">
        <v>125</v>
      </c>
      <c r="D532" s="344" t="s">
        <v>1326</v>
      </c>
      <c r="E532" s="344" t="s">
        <v>1327</v>
      </c>
      <c r="F532" s="347" t="s">
        <v>1328</v>
      </c>
      <c r="G532" s="344" t="s">
        <v>115</v>
      </c>
      <c r="H532" s="350">
        <v>730</v>
      </c>
      <c r="I532" s="365" t="s">
        <v>6</v>
      </c>
      <c r="J532" s="356">
        <v>0.8</v>
      </c>
      <c r="K532" s="359" t="s">
        <v>138</v>
      </c>
      <c r="L532" s="356" t="s">
        <v>138</v>
      </c>
      <c r="M532" s="365" t="s">
        <v>7</v>
      </c>
      <c r="N532" s="356">
        <v>0.8</v>
      </c>
      <c r="O532" s="362" t="s">
        <v>76</v>
      </c>
      <c r="P532" s="291">
        <v>1</v>
      </c>
      <c r="Q532" s="224" t="s">
        <v>1329</v>
      </c>
      <c r="R532" s="227" t="s">
        <v>2</v>
      </c>
      <c r="S532" s="228" t="s">
        <v>16</v>
      </c>
      <c r="T532" s="228" t="s">
        <v>9</v>
      </c>
      <c r="U532" s="229" t="s">
        <v>359</v>
      </c>
      <c r="V532" s="228" t="s">
        <v>19</v>
      </c>
      <c r="W532" s="228" t="s">
        <v>22</v>
      </c>
      <c r="X532" s="228" t="s">
        <v>111</v>
      </c>
      <c r="Y532" s="230">
        <f t="shared" ref="Y532" si="238">IFERROR(IF(R532="Probabilidad",(J532-(+J532*U532)),IF(R532="Impacto",J532,"")),"")</f>
        <v>0.8</v>
      </c>
      <c r="Z532" s="292" t="s">
        <v>6</v>
      </c>
      <c r="AA532" s="232">
        <v>0.8</v>
      </c>
      <c r="AB532" s="292" t="s">
        <v>77</v>
      </c>
      <c r="AC532" s="232">
        <v>0.60000000000000009</v>
      </c>
      <c r="AD532" s="233" t="s">
        <v>76</v>
      </c>
      <c r="AE532" s="284" t="s">
        <v>257</v>
      </c>
      <c r="AF532" s="293" t="s">
        <v>1330</v>
      </c>
      <c r="AG532" s="294" t="s">
        <v>1331</v>
      </c>
      <c r="AH532" s="294" t="s">
        <v>1332</v>
      </c>
      <c r="AI532" s="294" t="s">
        <v>1333</v>
      </c>
      <c r="AJ532" s="295" t="s">
        <v>1334</v>
      </c>
      <c r="AK532" s="237">
        <v>44757</v>
      </c>
      <c r="AL532" s="237">
        <v>44926</v>
      </c>
      <c r="AM532" s="350">
        <v>4185</v>
      </c>
      <c r="AN532" s="350"/>
    </row>
    <row r="533" spans="1:40" ht="54.75" thickBot="1">
      <c r="A533" s="342"/>
      <c r="B533" s="345"/>
      <c r="C533" s="345"/>
      <c r="D533" s="345"/>
      <c r="E533" s="345"/>
      <c r="F533" s="348"/>
      <c r="G533" s="345"/>
      <c r="H533" s="351"/>
      <c r="I533" s="366"/>
      <c r="J533" s="357"/>
      <c r="K533" s="360"/>
      <c r="L533" s="357">
        <v>0</v>
      </c>
      <c r="M533" s="366"/>
      <c r="N533" s="357"/>
      <c r="O533" s="363"/>
      <c r="P533" s="291">
        <v>2</v>
      </c>
      <c r="Q533" s="224" t="s">
        <v>1335</v>
      </c>
      <c r="R533" s="227" t="s">
        <v>4</v>
      </c>
      <c r="S533" s="228" t="s">
        <v>14</v>
      </c>
      <c r="T533" s="228" t="s">
        <v>9</v>
      </c>
      <c r="U533" s="229" t="s">
        <v>346</v>
      </c>
      <c r="V533" s="228" t="s">
        <v>19</v>
      </c>
      <c r="W533" s="228" t="s">
        <v>22</v>
      </c>
      <c r="X533" s="228" t="s">
        <v>111</v>
      </c>
      <c r="Y533" s="230">
        <f t="shared" ref="Y533" si="239">IFERROR(IF(AND(R532="Probabilidad",R533="Probabilidad"),(AA532-(+AA532*U533)),IF(R533="Probabilidad",(J532-(+J532*U533)),IF(R533="Impacto",AA532,""))),"")</f>
        <v>0.48</v>
      </c>
      <c r="Z533" s="292" t="s">
        <v>99</v>
      </c>
      <c r="AA533" s="232">
        <v>0.48</v>
      </c>
      <c r="AB533" s="292" t="s">
        <v>77</v>
      </c>
      <c r="AC533" s="232">
        <v>0.60000000000000009</v>
      </c>
      <c r="AD533" s="233" t="s">
        <v>77</v>
      </c>
      <c r="AE533" s="284" t="s">
        <v>257</v>
      </c>
      <c r="AF533" s="293" t="s">
        <v>1336</v>
      </c>
      <c r="AG533" s="294" t="s">
        <v>1331</v>
      </c>
      <c r="AH533" s="294" t="s">
        <v>1332</v>
      </c>
      <c r="AI533" s="294" t="s">
        <v>1333</v>
      </c>
      <c r="AJ533" s="295" t="s">
        <v>1334</v>
      </c>
      <c r="AK533" s="237">
        <v>44757</v>
      </c>
      <c r="AL533" s="237">
        <v>44926</v>
      </c>
      <c r="AM533" s="351"/>
      <c r="AN533" s="351"/>
    </row>
    <row r="534" spans="1:40" ht="54.75" thickBot="1">
      <c r="A534" s="342"/>
      <c r="B534" s="345"/>
      <c r="C534" s="345"/>
      <c r="D534" s="345"/>
      <c r="E534" s="345"/>
      <c r="F534" s="348"/>
      <c r="G534" s="345"/>
      <c r="H534" s="351"/>
      <c r="I534" s="366"/>
      <c r="J534" s="357"/>
      <c r="K534" s="360"/>
      <c r="L534" s="357">
        <v>0</v>
      </c>
      <c r="M534" s="366"/>
      <c r="N534" s="357"/>
      <c r="O534" s="363"/>
      <c r="P534" s="291">
        <v>3</v>
      </c>
      <c r="Q534" s="224" t="s">
        <v>1337</v>
      </c>
      <c r="R534" s="227" t="s">
        <v>4</v>
      </c>
      <c r="S534" s="228" t="s">
        <v>14</v>
      </c>
      <c r="T534" s="228" t="s">
        <v>9</v>
      </c>
      <c r="U534" s="229" t="s">
        <v>346</v>
      </c>
      <c r="V534" s="228" t="s">
        <v>19</v>
      </c>
      <c r="W534" s="228" t="s">
        <v>23</v>
      </c>
      <c r="X534" s="228" t="s">
        <v>111</v>
      </c>
      <c r="Y534" s="230">
        <f t="shared" ref="Y534:Y537" si="240">IFERROR(IF(AND(R533="Probabilidad",R534="Probabilidad"),(AA533-(+AA533*U534)),IF(AND(R533="Impacto",R534="Probabilidad"),(AA532-(+AA532*U534)),IF(R534="Impacto",AA533,""))),"")</f>
        <v>0.28799999999999998</v>
      </c>
      <c r="Z534" s="292" t="s">
        <v>49</v>
      </c>
      <c r="AA534" s="232">
        <v>0.28799999999999998</v>
      </c>
      <c r="AB534" s="292" t="s">
        <v>77</v>
      </c>
      <c r="AC534" s="232">
        <v>0.60000000000000009</v>
      </c>
      <c r="AD534" s="233" t="s">
        <v>77</v>
      </c>
      <c r="AE534" s="284" t="s">
        <v>257</v>
      </c>
      <c r="AF534" s="293" t="s">
        <v>1338</v>
      </c>
      <c r="AG534" s="294" t="s">
        <v>1331</v>
      </c>
      <c r="AH534" s="294" t="s">
        <v>1332</v>
      </c>
      <c r="AI534" s="294" t="s">
        <v>1333</v>
      </c>
      <c r="AJ534" s="295" t="s">
        <v>1334</v>
      </c>
      <c r="AK534" s="237">
        <v>44757</v>
      </c>
      <c r="AL534" s="237">
        <v>44926</v>
      </c>
      <c r="AM534" s="351"/>
      <c r="AN534" s="351"/>
    </row>
    <row r="535" spans="1:40" ht="56.25" thickBot="1">
      <c r="A535" s="342"/>
      <c r="B535" s="345"/>
      <c r="C535" s="345"/>
      <c r="D535" s="345"/>
      <c r="E535" s="345"/>
      <c r="F535" s="348"/>
      <c r="G535" s="345"/>
      <c r="H535" s="351"/>
      <c r="I535" s="366"/>
      <c r="J535" s="357"/>
      <c r="K535" s="360"/>
      <c r="L535" s="357">
        <v>0</v>
      </c>
      <c r="M535" s="366"/>
      <c r="N535" s="357"/>
      <c r="O535" s="363"/>
      <c r="P535" s="291">
        <v>4</v>
      </c>
      <c r="Q535" s="224" t="s">
        <v>1339</v>
      </c>
      <c r="R535" s="227" t="s">
        <v>2</v>
      </c>
      <c r="S535" s="228" t="s">
        <v>16</v>
      </c>
      <c r="T535" s="228" t="s">
        <v>9</v>
      </c>
      <c r="U535" s="229" t="s">
        <v>359</v>
      </c>
      <c r="V535" s="228" t="s">
        <v>20</v>
      </c>
      <c r="W535" s="228" t="s">
        <v>22</v>
      </c>
      <c r="X535" s="228" t="s">
        <v>111</v>
      </c>
      <c r="Y535" s="230">
        <f t="shared" si="240"/>
        <v>0.28799999999999998</v>
      </c>
      <c r="Z535" s="292" t="s">
        <v>49</v>
      </c>
      <c r="AA535" s="232">
        <v>0.28799999999999998</v>
      </c>
      <c r="AB535" s="292" t="s">
        <v>77</v>
      </c>
      <c r="AC535" s="232">
        <v>0.45000000000000007</v>
      </c>
      <c r="AD535" s="233" t="s">
        <v>77</v>
      </c>
      <c r="AE535" s="284" t="s">
        <v>257</v>
      </c>
      <c r="AF535" s="293" t="s">
        <v>1340</v>
      </c>
      <c r="AG535" s="296" t="s">
        <v>1341</v>
      </c>
      <c r="AH535" s="236" t="s">
        <v>1004</v>
      </c>
      <c r="AI535" s="294" t="s">
        <v>1333</v>
      </c>
      <c r="AJ535" s="295" t="s">
        <v>1334</v>
      </c>
      <c r="AK535" s="237">
        <v>44757</v>
      </c>
      <c r="AL535" s="237">
        <v>44926</v>
      </c>
      <c r="AM535" s="351"/>
      <c r="AN535" s="351"/>
    </row>
    <row r="536" spans="1:40" ht="68.25" thickBot="1">
      <c r="A536" s="342"/>
      <c r="B536" s="345"/>
      <c r="C536" s="345"/>
      <c r="D536" s="345"/>
      <c r="E536" s="345"/>
      <c r="F536" s="348"/>
      <c r="G536" s="345"/>
      <c r="H536" s="351"/>
      <c r="I536" s="366"/>
      <c r="J536" s="357"/>
      <c r="K536" s="360"/>
      <c r="L536" s="357">
        <v>0</v>
      </c>
      <c r="M536" s="366"/>
      <c r="N536" s="357"/>
      <c r="O536" s="363"/>
      <c r="P536" s="291">
        <v>5</v>
      </c>
      <c r="Q536" s="224" t="s">
        <v>1342</v>
      </c>
      <c r="R536" s="227" t="s">
        <v>4</v>
      </c>
      <c r="S536" s="228" t="s">
        <v>14</v>
      </c>
      <c r="T536" s="228" t="s">
        <v>9</v>
      </c>
      <c r="U536" s="229" t="s">
        <v>346</v>
      </c>
      <c r="V536" s="228" t="s">
        <v>19</v>
      </c>
      <c r="W536" s="228" t="s">
        <v>22</v>
      </c>
      <c r="X536" s="228" t="s">
        <v>111</v>
      </c>
      <c r="Y536" s="230">
        <f t="shared" si="240"/>
        <v>0.17279999999999998</v>
      </c>
      <c r="Z536" s="292" t="s">
        <v>47</v>
      </c>
      <c r="AA536" s="232">
        <v>0.17279999999999998</v>
      </c>
      <c r="AB536" s="292" t="s">
        <v>77</v>
      </c>
      <c r="AC536" s="232">
        <v>0.45000000000000007</v>
      </c>
      <c r="AD536" s="233" t="s">
        <v>77</v>
      </c>
      <c r="AE536" s="284" t="s">
        <v>257</v>
      </c>
      <c r="AF536" s="293" t="s">
        <v>1343</v>
      </c>
      <c r="AG536" s="294" t="s">
        <v>1331</v>
      </c>
      <c r="AH536" s="236" t="s">
        <v>1344</v>
      </c>
      <c r="AI536" s="294" t="s">
        <v>1333</v>
      </c>
      <c r="AJ536" s="295" t="s">
        <v>1334</v>
      </c>
      <c r="AK536" s="237">
        <v>44757</v>
      </c>
      <c r="AL536" s="237">
        <v>44926</v>
      </c>
      <c r="AM536" s="351"/>
      <c r="AN536" s="351"/>
    </row>
    <row r="537" spans="1:40" ht="54.75" thickBot="1">
      <c r="A537" s="343"/>
      <c r="B537" s="345"/>
      <c r="C537" s="345"/>
      <c r="D537" s="345"/>
      <c r="E537" s="345"/>
      <c r="F537" s="348"/>
      <c r="G537" s="345"/>
      <c r="H537" s="351"/>
      <c r="I537" s="366"/>
      <c r="J537" s="357"/>
      <c r="K537" s="360"/>
      <c r="L537" s="357"/>
      <c r="M537" s="366"/>
      <c r="N537" s="357"/>
      <c r="O537" s="363"/>
      <c r="P537" s="291">
        <v>6</v>
      </c>
      <c r="Q537" s="224" t="s">
        <v>1345</v>
      </c>
      <c r="R537" s="227" t="s">
        <v>4</v>
      </c>
      <c r="S537" s="228" t="s">
        <v>14</v>
      </c>
      <c r="T537" s="228" t="s">
        <v>9</v>
      </c>
      <c r="U537" s="229" t="s">
        <v>346</v>
      </c>
      <c r="V537" s="228" t="s">
        <v>19</v>
      </c>
      <c r="W537" s="228" t="s">
        <v>23</v>
      </c>
      <c r="X537" s="228" t="s">
        <v>111</v>
      </c>
      <c r="Y537" s="230">
        <f t="shared" si="240"/>
        <v>0.10367999999999998</v>
      </c>
      <c r="Z537" s="292" t="s">
        <v>47</v>
      </c>
      <c r="AA537" s="232">
        <v>0.10367999999999998</v>
      </c>
      <c r="AB537" s="292" t="s">
        <v>77</v>
      </c>
      <c r="AC537" s="232">
        <v>0.45000000000000007</v>
      </c>
      <c r="AD537" s="233" t="s">
        <v>77</v>
      </c>
      <c r="AE537" s="284" t="s">
        <v>257</v>
      </c>
      <c r="AF537" s="293" t="s">
        <v>1346</v>
      </c>
      <c r="AG537" s="296" t="s">
        <v>1341</v>
      </c>
      <c r="AH537" s="236" t="s">
        <v>1004</v>
      </c>
      <c r="AI537" s="294" t="s">
        <v>1333</v>
      </c>
      <c r="AJ537" s="295" t="s">
        <v>1334</v>
      </c>
      <c r="AK537" s="237">
        <v>44757</v>
      </c>
      <c r="AL537" s="237">
        <v>44926</v>
      </c>
      <c r="AM537" s="351"/>
      <c r="AN537" s="351"/>
    </row>
    <row r="538" spans="1:40">
      <c r="A538" s="263"/>
    </row>
    <row r="539" spans="1:40">
      <c r="A539" s="263"/>
    </row>
    <row r="540" spans="1:40">
      <c r="A540" s="288"/>
    </row>
    <row r="541" spans="1:40">
      <c r="A541" s="264"/>
    </row>
    <row r="542" spans="1:40">
      <c r="A542" s="263"/>
    </row>
    <row r="543" spans="1:40">
      <c r="A543" s="263"/>
    </row>
    <row r="544" spans="1:40">
      <c r="A544" s="263"/>
    </row>
    <row r="545" spans="1:1">
      <c r="A545" s="263"/>
    </row>
    <row r="546" spans="1:1">
      <c r="A546" s="288"/>
    </row>
    <row r="547" spans="1:1">
      <c r="A547" s="264"/>
    </row>
    <row r="548" spans="1:1">
      <c r="A548" s="263"/>
    </row>
    <row r="549" spans="1:1">
      <c r="A549" s="263"/>
    </row>
    <row r="550" spans="1:1">
      <c r="A550" s="263"/>
    </row>
    <row r="551" spans="1:1">
      <c r="A551" s="263"/>
    </row>
    <row r="552" spans="1:1">
      <c r="A552" s="288"/>
    </row>
    <row r="553" spans="1:1">
      <c r="A553" s="264"/>
    </row>
    <row r="554" spans="1:1">
      <c r="A554" s="263"/>
    </row>
    <row r="555" spans="1:1">
      <c r="A555" s="263"/>
    </row>
    <row r="556" spans="1:1">
      <c r="A556" s="263"/>
    </row>
    <row r="557" spans="1:1">
      <c r="A557" s="263"/>
    </row>
    <row r="558" spans="1:1">
      <c r="A558" s="288"/>
    </row>
    <row r="559" spans="1:1">
      <c r="A559" s="264"/>
    </row>
    <row r="560" spans="1:1">
      <c r="A560" s="263"/>
    </row>
    <row r="561" spans="1:1">
      <c r="A561" s="263"/>
    </row>
    <row r="562" spans="1:1">
      <c r="A562" s="263"/>
    </row>
    <row r="563" spans="1:1">
      <c r="A563" s="263"/>
    </row>
    <row r="564" spans="1:1">
      <c r="A564" s="288"/>
    </row>
    <row r="565" spans="1:1">
      <c r="A565" s="264"/>
    </row>
    <row r="566" spans="1:1">
      <c r="A566" s="263"/>
    </row>
    <row r="567" spans="1:1">
      <c r="A567" s="263"/>
    </row>
    <row r="568" spans="1:1">
      <c r="A568" s="263"/>
    </row>
    <row r="569" spans="1:1">
      <c r="A569" s="263"/>
    </row>
    <row r="570" spans="1:1">
      <c r="A570" s="288"/>
    </row>
    <row r="571" spans="1:1">
      <c r="A571" s="264"/>
    </row>
    <row r="572" spans="1:1">
      <c r="A572" s="263"/>
    </row>
    <row r="573" spans="1:1">
      <c r="A573" s="263"/>
    </row>
    <row r="574" spans="1:1">
      <c r="A574" s="263"/>
    </row>
    <row r="575" spans="1:1">
      <c r="A575" s="263"/>
    </row>
    <row r="576" spans="1:1">
      <c r="A576" s="288"/>
    </row>
    <row r="577" spans="1:1">
      <c r="A577" s="264"/>
    </row>
    <row r="578" spans="1:1">
      <c r="A578" s="263"/>
    </row>
    <row r="579" spans="1:1">
      <c r="A579" s="263"/>
    </row>
    <row r="580" spans="1:1">
      <c r="A580" s="263"/>
    </row>
    <row r="581" spans="1:1">
      <c r="A581" s="263"/>
    </row>
    <row r="582" spans="1:1">
      <c r="A582" s="288"/>
    </row>
    <row r="583" spans="1:1">
      <c r="A583" s="264"/>
    </row>
    <row r="584" spans="1:1">
      <c r="A584" s="263"/>
    </row>
    <row r="585" spans="1:1">
      <c r="A585" s="263"/>
    </row>
    <row r="586" spans="1:1">
      <c r="A586" s="263"/>
    </row>
    <row r="587" spans="1:1">
      <c r="A587" s="263"/>
    </row>
    <row r="588" spans="1:1">
      <c r="A588" s="288"/>
    </row>
  </sheetData>
  <dataConsolidate/>
  <mergeCells count="1523">
    <mergeCell ref="AN532:AN537"/>
    <mergeCell ref="AM532:AM537"/>
    <mergeCell ref="A532:A537"/>
    <mergeCell ref="B532:B537"/>
    <mergeCell ref="C532:C537"/>
    <mergeCell ref="D532:D537"/>
    <mergeCell ref="E532:E537"/>
    <mergeCell ref="F532:F537"/>
    <mergeCell ref="G532:G537"/>
    <mergeCell ref="H532:H537"/>
    <mergeCell ref="I532:I537"/>
    <mergeCell ref="J532:J537"/>
    <mergeCell ref="K532:K537"/>
    <mergeCell ref="L532:L537"/>
    <mergeCell ref="M532:M537"/>
    <mergeCell ref="N532:N537"/>
    <mergeCell ref="O532:O537"/>
    <mergeCell ref="AN469:AN475"/>
    <mergeCell ref="B476:B482"/>
    <mergeCell ref="C476:C482"/>
    <mergeCell ref="D476:D482"/>
    <mergeCell ref="E476:E482"/>
    <mergeCell ref="F476:F482"/>
    <mergeCell ref="G476:G482"/>
    <mergeCell ref="H476:H482"/>
    <mergeCell ref="I476:I482"/>
    <mergeCell ref="J476:J482"/>
    <mergeCell ref="K476:K482"/>
    <mergeCell ref="L476:L482"/>
    <mergeCell ref="M476:M482"/>
    <mergeCell ref="N476:N482"/>
    <mergeCell ref="O476:O482"/>
    <mergeCell ref="AM476:AM482"/>
    <mergeCell ref="AN476:AN482"/>
    <mergeCell ref="K463:K468"/>
    <mergeCell ref="L463:L468"/>
    <mergeCell ref="M463:M468"/>
    <mergeCell ref="N463:N468"/>
    <mergeCell ref="O463:O468"/>
    <mergeCell ref="AM463:AM468"/>
    <mergeCell ref="AN463:AN468"/>
    <mergeCell ref="A463:A468"/>
    <mergeCell ref="B469:B475"/>
    <mergeCell ref="C469:C475"/>
    <mergeCell ref="D469:D475"/>
    <mergeCell ref="E469:E475"/>
    <mergeCell ref="F469:F475"/>
    <mergeCell ref="G469:G475"/>
    <mergeCell ref="H469:H475"/>
    <mergeCell ref="I469:I475"/>
    <mergeCell ref="J469:J475"/>
    <mergeCell ref="K469:K475"/>
    <mergeCell ref="L469:L475"/>
    <mergeCell ref="M469:M475"/>
    <mergeCell ref="N469:N475"/>
    <mergeCell ref="O469:O475"/>
    <mergeCell ref="AM469:AM475"/>
    <mergeCell ref="B463:B468"/>
    <mergeCell ref="C463:C468"/>
    <mergeCell ref="D463:D468"/>
    <mergeCell ref="E463:E468"/>
    <mergeCell ref="F463:F468"/>
    <mergeCell ref="G463:G468"/>
    <mergeCell ref="H463:H468"/>
    <mergeCell ref="I463:I468"/>
    <mergeCell ref="J463:J468"/>
    <mergeCell ref="K457:K462"/>
    <mergeCell ref="L457:L462"/>
    <mergeCell ref="M457:M462"/>
    <mergeCell ref="N457:N462"/>
    <mergeCell ref="O457:O462"/>
    <mergeCell ref="AM439:AM444"/>
    <mergeCell ref="AN439:AN444"/>
    <mergeCell ref="AM445:AM450"/>
    <mergeCell ref="AN445:AN450"/>
    <mergeCell ref="AM451:AM456"/>
    <mergeCell ref="AN451:AN456"/>
    <mergeCell ref="AM457:AM462"/>
    <mergeCell ref="AN457:AN462"/>
    <mergeCell ref="B457:B462"/>
    <mergeCell ref="C457:C462"/>
    <mergeCell ref="D457:D462"/>
    <mergeCell ref="E457:E462"/>
    <mergeCell ref="F457:F462"/>
    <mergeCell ref="G457:G462"/>
    <mergeCell ref="H457:H462"/>
    <mergeCell ref="I457:I462"/>
    <mergeCell ref="J457:J462"/>
    <mergeCell ref="O445:O450"/>
    <mergeCell ref="B451:B456"/>
    <mergeCell ref="C451:C456"/>
    <mergeCell ref="D451:D456"/>
    <mergeCell ref="E451:E456"/>
    <mergeCell ref="F451:F456"/>
    <mergeCell ref="G451:G456"/>
    <mergeCell ref="H451:H456"/>
    <mergeCell ref="I451:I456"/>
    <mergeCell ref="J451:J456"/>
    <mergeCell ref="K451:K456"/>
    <mergeCell ref="L451:L456"/>
    <mergeCell ref="M451:M456"/>
    <mergeCell ref="N451:N456"/>
    <mergeCell ref="O451:O456"/>
    <mergeCell ref="B445:B450"/>
    <mergeCell ref="C445:C450"/>
    <mergeCell ref="D445:D450"/>
    <mergeCell ref="F445:F450"/>
    <mergeCell ref="G445:G450"/>
    <mergeCell ref="H445:H450"/>
    <mergeCell ref="I445:I450"/>
    <mergeCell ref="J445:J450"/>
    <mergeCell ref="K445:K450"/>
    <mergeCell ref="L445:L450"/>
    <mergeCell ref="M445:M450"/>
    <mergeCell ref="N445:N450"/>
    <mergeCell ref="K433:K438"/>
    <mergeCell ref="L433:L438"/>
    <mergeCell ref="M433:M438"/>
    <mergeCell ref="N433:N438"/>
    <mergeCell ref="O433:O438"/>
    <mergeCell ref="AM433:AM438"/>
    <mergeCell ref="AN433:AN438"/>
    <mergeCell ref="B439:B444"/>
    <mergeCell ref="C439:C444"/>
    <mergeCell ref="D439:D444"/>
    <mergeCell ref="E439:E444"/>
    <mergeCell ref="F439:F444"/>
    <mergeCell ref="G439:G444"/>
    <mergeCell ref="H439:H444"/>
    <mergeCell ref="I439:I444"/>
    <mergeCell ref="J439:J444"/>
    <mergeCell ref="K439:K444"/>
    <mergeCell ref="L439:L444"/>
    <mergeCell ref="M439:M444"/>
    <mergeCell ref="N439:N444"/>
    <mergeCell ref="O439:O444"/>
    <mergeCell ref="B433:B438"/>
    <mergeCell ref="C433:C438"/>
    <mergeCell ref="D433:D438"/>
    <mergeCell ref="E433:E438"/>
    <mergeCell ref="F433:F438"/>
    <mergeCell ref="G433:G438"/>
    <mergeCell ref="H433:H438"/>
    <mergeCell ref="I433:I438"/>
    <mergeCell ref="J433:J438"/>
    <mergeCell ref="K421:K426"/>
    <mergeCell ref="L421:L426"/>
    <mergeCell ref="M421:M426"/>
    <mergeCell ref="N421:N426"/>
    <mergeCell ref="O421:O426"/>
    <mergeCell ref="AM421:AM426"/>
    <mergeCell ref="AN421:AN426"/>
    <mergeCell ref="B427:B432"/>
    <mergeCell ref="C427:C432"/>
    <mergeCell ref="D427:D432"/>
    <mergeCell ref="E427:E432"/>
    <mergeCell ref="F427:F432"/>
    <mergeCell ref="G427:G432"/>
    <mergeCell ref="H427:H432"/>
    <mergeCell ref="I427:I432"/>
    <mergeCell ref="J427:J432"/>
    <mergeCell ref="K427:K432"/>
    <mergeCell ref="L427:L432"/>
    <mergeCell ref="M427:M432"/>
    <mergeCell ref="N427:N432"/>
    <mergeCell ref="O427:O432"/>
    <mergeCell ref="AM427:AM432"/>
    <mergeCell ref="AN427:AN432"/>
    <mergeCell ref="B421:B426"/>
    <mergeCell ref="C421:C426"/>
    <mergeCell ref="D421:D426"/>
    <mergeCell ref="E421:E426"/>
    <mergeCell ref="F421:F426"/>
    <mergeCell ref="G421:G426"/>
    <mergeCell ref="H421:H426"/>
    <mergeCell ref="I421:I426"/>
    <mergeCell ref="J421:J426"/>
    <mergeCell ref="AM409:AM414"/>
    <mergeCell ref="AN409:AN414"/>
    <mergeCell ref="B415:B420"/>
    <mergeCell ref="C415:C420"/>
    <mergeCell ref="D415:D420"/>
    <mergeCell ref="E415:E420"/>
    <mergeCell ref="F415:F420"/>
    <mergeCell ref="G415:G420"/>
    <mergeCell ref="H415:H420"/>
    <mergeCell ref="I415:I420"/>
    <mergeCell ref="J415:J420"/>
    <mergeCell ref="K415:K420"/>
    <mergeCell ref="L415:L420"/>
    <mergeCell ref="M415:M420"/>
    <mergeCell ref="N415:N420"/>
    <mergeCell ref="O415:O420"/>
    <mergeCell ref="AM415:AM420"/>
    <mergeCell ref="AN415:AN420"/>
    <mergeCell ref="G409:G414"/>
    <mergeCell ref="H409:H414"/>
    <mergeCell ref="I409:I414"/>
    <mergeCell ref="J409:J414"/>
    <mergeCell ref="K409:K414"/>
    <mergeCell ref="L409:L414"/>
    <mergeCell ref="M409:M414"/>
    <mergeCell ref="N409:N414"/>
    <mergeCell ref="O409:O414"/>
    <mergeCell ref="B409:B414"/>
    <mergeCell ref="C409:C414"/>
    <mergeCell ref="D409:D414"/>
    <mergeCell ref="E409:E414"/>
    <mergeCell ref="F409:F414"/>
    <mergeCell ref="AM397:AM402"/>
    <mergeCell ref="AN397:AN402"/>
    <mergeCell ref="B403:B408"/>
    <mergeCell ref="C403:C408"/>
    <mergeCell ref="D403:D408"/>
    <mergeCell ref="E403:E408"/>
    <mergeCell ref="F403:F408"/>
    <mergeCell ref="G403:G408"/>
    <mergeCell ref="H403:H408"/>
    <mergeCell ref="I403:I408"/>
    <mergeCell ref="J403:J408"/>
    <mergeCell ref="K403:K408"/>
    <mergeCell ref="L403:L408"/>
    <mergeCell ref="M403:M408"/>
    <mergeCell ref="N403:N408"/>
    <mergeCell ref="O403:O408"/>
    <mergeCell ref="AM403:AM408"/>
    <mergeCell ref="AN403:AN408"/>
    <mergeCell ref="G397:G402"/>
    <mergeCell ref="H397:H402"/>
    <mergeCell ref="I397:I402"/>
    <mergeCell ref="J397:J402"/>
    <mergeCell ref="K397:K402"/>
    <mergeCell ref="L397:L402"/>
    <mergeCell ref="M397:M402"/>
    <mergeCell ref="N397:N402"/>
    <mergeCell ref="O397:O402"/>
    <mergeCell ref="B397:B402"/>
    <mergeCell ref="C397:C402"/>
    <mergeCell ref="D397:D402"/>
    <mergeCell ref="E397:E402"/>
    <mergeCell ref="F397:F402"/>
    <mergeCell ref="AM385:AM390"/>
    <mergeCell ref="AN385:AN390"/>
    <mergeCell ref="B391:B396"/>
    <mergeCell ref="C391:C396"/>
    <mergeCell ref="D391:D396"/>
    <mergeCell ref="E391:E396"/>
    <mergeCell ref="F391:F396"/>
    <mergeCell ref="G391:G396"/>
    <mergeCell ref="H391:H396"/>
    <mergeCell ref="I391:I396"/>
    <mergeCell ref="J391:J396"/>
    <mergeCell ref="K391:K396"/>
    <mergeCell ref="L391:L396"/>
    <mergeCell ref="M391:M396"/>
    <mergeCell ref="N391:N396"/>
    <mergeCell ref="O391:O396"/>
    <mergeCell ref="AM391:AM396"/>
    <mergeCell ref="AN391:AN396"/>
    <mergeCell ref="G385:G390"/>
    <mergeCell ref="H385:H390"/>
    <mergeCell ref="I385:I390"/>
    <mergeCell ref="J385:J390"/>
    <mergeCell ref="K385:K390"/>
    <mergeCell ref="L385:L390"/>
    <mergeCell ref="M385:M390"/>
    <mergeCell ref="N385:N390"/>
    <mergeCell ref="O385:O390"/>
    <mergeCell ref="B385:B390"/>
    <mergeCell ref="C385:C390"/>
    <mergeCell ref="D385:D390"/>
    <mergeCell ref="E385:E390"/>
    <mergeCell ref="F385:F390"/>
    <mergeCell ref="AM373:AM378"/>
    <mergeCell ref="AN373:AN378"/>
    <mergeCell ref="B379:B384"/>
    <mergeCell ref="C379:C384"/>
    <mergeCell ref="D379:D384"/>
    <mergeCell ref="E379:E384"/>
    <mergeCell ref="F379:F384"/>
    <mergeCell ref="G379:G384"/>
    <mergeCell ref="H379:H384"/>
    <mergeCell ref="I379:I384"/>
    <mergeCell ref="J379:J384"/>
    <mergeCell ref="K379:K384"/>
    <mergeCell ref="L379:L384"/>
    <mergeCell ref="M379:M384"/>
    <mergeCell ref="N379:N384"/>
    <mergeCell ref="O379:O384"/>
    <mergeCell ref="AM379:AM384"/>
    <mergeCell ref="AN379:AN384"/>
    <mergeCell ref="G373:G378"/>
    <mergeCell ref="H373:H378"/>
    <mergeCell ref="I373:I378"/>
    <mergeCell ref="J373:J378"/>
    <mergeCell ref="K373:K378"/>
    <mergeCell ref="L373:L378"/>
    <mergeCell ref="M373:M378"/>
    <mergeCell ref="N373:N378"/>
    <mergeCell ref="O373:O378"/>
    <mergeCell ref="B373:B378"/>
    <mergeCell ref="C373:C378"/>
    <mergeCell ref="D373:D378"/>
    <mergeCell ref="E373:E378"/>
    <mergeCell ref="F373:F378"/>
    <mergeCell ref="A508:A513"/>
    <mergeCell ref="A514:A519"/>
    <mergeCell ref="A520:A525"/>
    <mergeCell ref="A526:A531"/>
    <mergeCell ref="A433:A438"/>
    <mergeCell ref="A439:A444"/>
    <mergeCell ref="A445:A450"/>
    <mergeCell ref="A451:A456"/>
    <mergeCell ref="A457:A462"/>
    <mergeCell ref="A379:A384"/>
    <mergeCell ref="A385:A390"/>
    <mergeCell ref="A391:A396"/>
    <mergeCell ref="A397:A402"/>
    <mergeCell ref="A403:A408"/>
    <mergeCell ref="A409:A414"/>
    <mergeCell ref="A415:A420"/>
    <mergeCell ref="A421:A426"/>
    <mergeCell ref="A427:A432"/>
    <mergeCell ref="A483:A488"/>
    <mergeCell ref="A489:A494"/>
    <mergeCell ref="A469:A475"/>
    <mergeCell ref="A476:A482"/>
    <mergeCell ref="L361:L366"/>
    <mergeCell ref="M361:M366"/>
    <mergeCell ref="N361:N366"/>
    <mergeCell ref="O361:O366"/>
    <mergeCell ref="AM361:AM366"/>
    <mergeCell ref="AN361:AN366"/>
    <mergeCell ref="B367:B372"/>
    <mergeCell ref="C367:C372"/>
    <mergeCell ref="D367:D372"/>
    <mergeCell ref="E367:E372"/>
    <mergeCell ref="F367:F372"/>
    <mergeCell ref="G367:G372"/>
    <mergeCell ref="H367:H372"/>
    <mergeCell ref="I367:I372"/>
    <mergeCell ref="J367:J372"/>
    <mergeCell ref="K367:K372"/>
    <mergeCell ref="L367:L372"/>
    <mergeCell ref="M367:M372"/>
    <mergeCell ref="N367:N372"/>
    <mergeCell ref="O367:O372"/>
    <mergeCell ref="AM367:AM372"/>
    <mergeCell ref="AN367:AN372"/>
    <mergeCell ref="B331:B336"/>
    <mergeCell ref="B337:B342"/>
    <mergeCell ref="B343:B348"/>
    <mergeCell ref="G331:G336"/>
    <mergeCell ref="H331:H336"/>
    <mergeCell ref="I331:I336"/>
    <mergeCell ref="J337:J342"/>
    <mergeCell ref="K337:K342"/>
    <mergeCell ref="B361:B366"/>
    <mergeCell ref="C361:C366"/>
    <mergeCell ref="D361:D366"/>
    <mergeCell ref="E361:E366"/>
    <mergeCell ref="F361:F366"/>
    <mergeCell ref="G361:G366"/>
    <mergeCell ref="H361:H366"/>
    <mergeCell ref="I361:I366"/>
    <mergeCell ref="J361:J366"/>
    <mergeCell ref="K361:K366"/>
    <mergeCell ref="C331:C336"/>
    <mergeCell ref="D331:D336"/>
    <mergeCell ref="E331:E336"/>
    <mergeCell ref="F331:F336"/>
    <mergeCell ref="C337:C342"/>
    <mergeCell ref="D337:D342"/>
    <mergeCell ref="C343:C348"/>
    <mergeCell ref="D343:D348"/>
    <mergeCell ref="E343:E348"/>
    <mergeCell ref="F343:F348"/>
    <mergeCell ref="E337:E342"/>
    <mergeCell ref="F337:F342"/>
    <mergeCell ref="AM331:AM336"/>
    <mergeCell ref="AM337:AM342"/>
    <mergeCell ref="AM343:AM348"/>
    <mergeCell ref="AM349:AM354"/>
    <mergeCell ref="AM355:AM360"/>
    <mergeCell ref="AN331:AN336"/>
    <mergeCell ref="AN337:AN342"/>
    <mergeCell ref="AN343:AN348"/>
    <mergeCell ref="AN349:AN354"/>
    <mergeCell ref="AN355:AN360"/>
    <mergeCell ref="L337:L342"/>
    <mergeCell ref="M337:M342"/>
    <mergeCell ref="N337:N342"/>
    <mergeCell ref="O337:O342"/>
    <mergeCell ref="G337:G342"/>
    <mergeCell ref="H337:H342"/>
    <mergeCell ref="I337:I342"/>
    <mergeCell ref="O331:O336"/>
    <mergeCell ref="J331:J336"/>
    <mergeCell ref="K331:K336"/>
    <mergeCell ref="L331:L336"/>
    <mergeCell ref="M331:M336"/>
    <mergeCell ref="N331:N336"/>
    <mergeCell ref="G343:G348"/>
    <mergeCell ref="H343:H348"/>
    <mergeCell ref="I343:I348"/>
    <mergeCell ref="K349:K354"/>
    <mergeCell ref="L349:L354"/>
    <mergeCell ref="M349:M354"/>
    <mergeCell ref="N349:N354"/>
    <mergeCell ref="O349:O354"/>
    <mergeCell ref="K343:K348"/>
    <mergeCell ref="L343:L348"/>
    <mergeCell ref="M343:M348"/>
    <mergeCell ref="B349:B354"/>
    <mergeCell ref="C349:C354"/>
    <mergeCell ref="D349:D354"/>
    <mergeCell ref="E349:E354"/>
    <mergeCell ref="F349:F354"/>
    <mergeCell ref="G349:G354"/>
    <mergeCell ref="H349:H354"/>
    <mergeCell ref="I349:I354"/>
    <mergeCell ref="J349:J354"/>
    <mergeCell ref="J343:J348"/>
    <mergeCell ref="N343:N348"/>
    <mergeCell ref="O343:O348"/>
    <mergeCell ref="J355:J360"/>
    <mergeCell ref="K355:K360"/>
    <mergeCell ref="L355:L360"/>
    <mergeCell ref="M355:M360"/>
    <mergeCell ref="B355:B360"/>
    <mergeCell ref="N355:N360"/>
    <mergeCell ref="O355:O360"/>
    <mergeCell ref="C355:C360"/>
    <mergeCell ref="D355:D360"/>
    <mergeCell ref="E355:E360"/>
    <mergeCell ref="F355:F360"/>
    <mergeCell ref="G355:G360"/>
    <mergeCell ref="H355:H360"/>
    <mergeCell ref="I355:I360"/>
    <mergeCell ref="K319:K324"/>
    <mergeCell ref="L319:L324"/>
    <mergeCell ref="M319:M324"/>
    <mergeCell ref="N319:N324"/>
    <mergeCell ref="O319:O324"/>
    <mergeCell ref="AM319:AM324"/>
    <mergeCell ref="AN319:AN324"/>
    <mergeCell ref="B325:B330"/>
    <mergeCell ref="C325:C330"/>
    <mergeCell ref="D325:D330"/>
    <mergeCell ref="E325:E330"/>
    <mergeCell ref="F325:F330"/>
    <mergeCell ref="G325:G330"/>
    <mergeCell ref="H325:H330"/>
    <mergeCell ref="I325:I330"/>
    <mergeCell ref="J325:J330"/>
    <mergeCell ref="K325:K330"/>
    <mergeCell ref="L325:L330"/>
    <mergeCell ref="M325:M330"/>
    <mergeCell ref="N325:N330"/>
    <mergeCell ref="O325:O330"/>
    <mergeCell ref="AM325:AM330"/>
    <mergeCell ref="AN325:AN330"/>
    <mergeCell ref="B319:B324"/>
    <mergeCell ref="C319:C324"/>
    <mergeCell ref="D319:D324"/>
    <mergeCell ref="E319:E324"/>
    <mergeCell ref="F319:F324"/>
    <mergeCell ref="G319:G324"/>
    <mergeCell ref="H319:H324"/>
    <mergeCell ref="I319:I324"/>
    <mergeCell ref="J319:J324"/>
    <mergeCell ref="K307:K312"/>
    <mergeCell ref="L307:L312"/>
    <mergeCell ref="M307:M312"/>
    <mergeCell ref="N307:N312"/>
    <mergeCell ref="O307:O312"/>
    <mergeCell ref="AM307:AM312"/>
    <mergeCell ref="AN307:AN312"/>
    <mergeCell ref="B313:B318"/>
    <mergeCell ref="C313:C318"/>
    <mergeCell ref="D313:D318"/>
    <mergeCell ref="E313:E318"/>
    <mergeCell ref="F313:F318"/>
    <mergeCell ref="G313:G318"/>
    <mergeCell ref="H313:H318"/>
    <mergeCell ref="I313:I318"/>
    <mergeCell ref="J313:J318"/>
    <mergeCell ref="K313:K318"/>
    <mergeCell ref="L313:L318"/>
    <mergeCell ref="M313:M318"/>
    <mergeCell ref="N313:N318"/>
    <mergeCell ref="O313:O318"/>
    <mergeCell ref="AM313:AM318"/>
    <mergeCell ref="AN313:AN318"/>
    <mergeCell ref="B307:B312"/>
    <mergeCell ref="C307:C312"/>
    <mergeCell ref="D307:D312"/>
    <mergeCell ref="E307:E312"/>
    <mergeCell ref="F307:F312"/>
    <mergeCell ref="G307:G312"/>
    <mergeCell ref="H307:H312"/>
    <mergeCell ref="I307:I312"/>
    <mergeCell ref="J307:J312"/>
    <mergeCell ref="K295:K300"/>
    <mergeCell ref="L295:L300"/>
    <mergeCell ref="M295:M300"/>
    <mergeCell ref="N295:N300"/>
    <mergeCell ref="O295:O300"/>
    <mergeCell ref="AM295:AM300"/>
    <mergeCell ref="AN295:AN300"/>
    <mergeCell ref="B301:B306"/>
    <mergeCell ref="C301:C306"/>
    <mergeCell ref="D301:D306"/>
    <mergeCell ref="E301:E306"/>
    <mergeCell ref="F301:F306"/>
    <mergeCell ref="G301:G306"/>
    <mergeCell ref="H301:H306"/>
    <mergeCell ref="I301:I306"/>
    <mergeCell ref="J301:J306"/>
    <mergeCell ref="K301:K306"/>
    <mergeCell ref="L301:L306"/>
    <mergeCell ref="M301:M306"/>
    <mergeCell ref="N301:N306"/>
    <mergeCell ref="O301:O306"/>
    <mergeCell ref="AM301:AM306"/>
    <mergeCell ref="AN301:AN306"/>
    <mergeCell ref="B295:B300"/>
    <mergeCell ref="C295:C300"/>
    <mergeCell ref="D295:D300"/>
    <mergeCell ref="E295:E300"/>
    <mergeCell ref="F295:F300"/>
    <mergeCell ref="G295:G300"/>
    <mergeCell ref="H295:H300"/>
    <mergeCell ref="I295:I300"/>
    <mergeCell ref="J295:J300"/>
    <mergeCell ref="K283:K288"/>
    <mergeCell ref="L283:L288"/>
    <mergeCell ref="M283:M288"/>
    <mergeCell ref="N283:N288"/>
    <mergeCell ref="O283:O288"/>
    <mergeCell ref="AM283:AM288"/>
    <mergeCell ref="AN283:AN288"/>
    <mergeCell ref="B289:B294"/>
    <mergeCell ref="C289:C294"/>
    <mergeCell ref="D289:D294"/>
    <mergeCell ref="E289:E294"/>
    <mergeCell ref="F289:F294"/>
    <mergeCell ref="G289:G294"/>
    <mergeCell ref="H289:H294"/>
    <mergeCell ref="I289:I294"/>
    <mergeCell ref="J289:J294"/>
    <mergeCell ref="K289:K294"/>
    <mergeCell ref="L289:L294"/>
    <mergeCell ref="M289:M294"/>
    <mergeCell ref="N289:N294"/>
    <mergeCell ref="O289:O294"/>
    <mergeCell ref="AM289:AM294"/>
    <mergeCell ref="AN289:AN294"/>
    <mergeCell ref="B283:B288"/>
    <mergeCell ref="C283:C288"/>
    <mergeCell ref="D283:D288"/>
    <mergeCell ref="E283:E288"/>
    <mergeCell ref="F283:F288"/>
    <mergeCell ref="G283:G288"/>
    <mergeCell ref="H283:H288"/>
    <mergeCell ref="I283:I288"/>
    <mergeCell ref="J283:J288"/>
    <mergeCell ref="B277:B282"/>
    <mergeCell ref="C277:C282"/>
    <mergeCell ref="D277:D282"/>
    <mergeCell ref="E277:E282"/>
    <mergeCell ref="F277:F282"/>
    <mergeCell ref="G277:G282"/>
    <mergeCell ref="H277:H282"/>
    <mergeCell ref="I277:I282"/>
    <mergeCell ref="J277:J282"/>
    <mergeCell ref="K277:K282"/>
    <mergeCell ref="L277:L282"/>
    <mergeCell ref="M277:M282"/>
    <mergeCell ref="N277:N282"/>
    <mergeCell ref="O277:O282"/>
    <mergeCell ref="AM277:AM282"/>
    <mergeCell ref="AN277:AN282"/>
    <mergeCell ref="B271:B276"/>
    <mergeCell ref="C271:C276"/>
    <mergeCell ref="D271:D276"/>
    <mergeCell ref="E271:E276"/>
    <mergeCell ref="F271:F276"/>
    <mergeCell ref="G271:G276"/>
    <mergeCell ref="H271:H276"/>
    <mergeCell ref="I271:I276"/>
    <mergeCell ref="J271:J276"/>
    <mergeCell ref="AM265:AM270"/>
    <mergeCell ref="AN265:AN270"/>
    <mergeCell ref="B259:B264"/>
    <mergeCell ref="C259:C264"/>
    <mergeCell ref="D259:D264"/>
    <mergeCell ref="E259:E264"/>
    <mergeCell ref="F259:F264"/>
    <mergeCell ref="G259:G264"/>
    <mergeCell ref="H259:H264"/>
    <mergeCell ref="I259:I264"/>
    <mergeCell ref="J259:J264"/>
    <mergeCell ref="K271:K276"/>
    <mergeCell ref="L271:L276"/>
    <mergeCell ref="M271:M276"/>
    <mergeCell ref="N271:N276"/>
    <mergeCell ref="O271:O276"/>
    <mergeCell ref="AM271:AM276"/>
    <mergeCell ref="AN271:AN276"/>
    <mergeCell ref="I79:I84"/>
    <mergeCell ref="J79:J84"/>
    <mergeCell ref="K79:K84"/>
    <mergeCell ref="L79:L84"/>
    <mergeCell ref="M79:M84"/>
    <mergeCell ref="N79:N84"/>
    <mergeCell ref="A349:A354"/>
    <mergeCell ref="A355:A360"/>
    <mergeCell ref="A361:A366"/>
    <mergeCell ref="A367:A372"/>
    <mergeCell ref="A373:A378"/>
    <mergeCell ref="B79:B84"/>
    <mergeCell ref="C79:C84"/>
    <mergeCell ref="D79:D84"/>
    <mergeCell ref="E79:E84"/>
    <mergeCell ref="A295:A300"/>
    <mergeCell ref="A301:A306"/>
    <mergeCell ref="A307:A312"/>
    <mergeCell ref="A313:A318"/>
    <mergeCell ref="A319:A324"/>
    <mergeCell ref="A325:A330"/>
    <mergeCell ref="A331:A336"/>
    <mergeCell ref="A337:A342"/>
    <mergeCell ref="A343:A348"/>
    <mergeCell ref="A241:A246"/>
    <mergeCell ref="A247:A252"/>
    <mergeCell ref="K259:K264"/>
    <mergeCell ref="L259:L264"/>
    <mergeCell ref="M259:M264"/>
    <mergeCell ref="N259:N264"/>
    <mergeCell ref="B265:B270"/>
    <mergeCell ref="C265:C270"/>
    <mergeCell ref="A253:A258"/>
    <mergeCell ref="A259:A264"/>
    <mergeCell ref="A265:A270"/>
    <mergeCell ref="A271:A276"/>
    <mergeCell ref="A277:A282"/>
    <mergeCell ref="A283:A288"/>
    <mergeCell ref="A289:A294"/>
    <mergeCell ref="A187:A192"/>
    <mergeCell ref="A193:A198"/>
    <mergeCell ref="A199:A204"/>
    <mergeCell ref="A205:A210"/>
    <mergeCell ref="A211:A216"/>
    <mergeCell ref="A217:A222"/>
    <mergeCell ref="A223:A228"/>
    <mergeCell ref="A229:A234"/>
    <mergeCell ref="A235:A240"/>
    <mergeCell ref="A133:A138"/>
    <mergeCell ref="A139:A144"/>
    <mergeCell ref="A145:A150"/>
    <mergeCell ref="A151:A156"/>
    <mergeCell ref="A157:A162"/>
    <mergeCell ref="A163:A168"/>
    <mergeCell ref="A169:A174"/>
    <mergeCell ref="A175:A180"/>
    <mergeCell ref="A181:A186"/>
    <mergeCell ref="A73:A78"/>
    <mergeCell ref="A79:A84"/>
    <mergeCell ref="A91:A96"/>
    <mergeCell ref="A97:A102"/>
    <mergeCell ref="A103:A108"/>
    <mergeCell ref="A109:A114"/>
    <mergeCell ref="A115:A120"/>
    <mergeCell ref="A121:A126"/>
    <mergeCell ref="A127:A132"/>
    <mergeCell ref="A67:A72"/>
    <mergeCell ref="C67:C72"/>
    <mergeCell ref="D67:D72"/>
    <mergeCell ref="E67:E72"/>
    <mergeCell ref="F67:F72"/>
    <mergeCell ref="G67:G72"/>
    <mergeCell ref="H67:H72"/>
    <mergeCell ref="I67:I72"/>
    <mergeCell ref="C91:C96"/>
    <mergeCell ref="D91:D96"/>
    <mergeCell ref="E91:E96"/>
    <mergeCell ref="F91:F96"/>
    <mergeCell ref="G91:G96"/>
    <mergeCell ref="H91:H96"/>
    <mergeCell ref="I91:I96"/>
    <mergeCell ref="C115:C120"/>
    <mergeCell ref="D115:D120"/>
    <mergeCell ref="E115:E120"/>
    <mergeCell ref="F115:F120"/>
    <mergeCell ref="G115:G120"/>
    <mergeCell ref="H115:H120"/>
    <mergeCell ref="I115:I120"/>
    <mergeCell ref="B115:B120"/>
    <mergeCell ref="A61:A66"/>
    <mergeCell ref="C61:C66"/>
    <mergeCell ref="D61:D66"/>
    <mergeCell ref="E61:E66"/>
    <mergeCell ref="F61:F66"/>
    <mergeCell ref="G61:G66"/>
    <mergeCell ref="H61:H66"/>
    <mergeCell ref="I61:I66"/>
    <mergeCell ref="J61:J66"/>
    <mergeCell ref="B61:B66"/>
    <mergeCell ref="I49:I54"/>
    <mergeCell ref="J49:J54"/>
    <mergeCell ref="L55:L60"/>
    <mergeCell ref="M55:M60"/>
    <mergeCell ref="N55:N60"/>
    <mergeCell ref="C55:C60"/>
    <mergeCell ref="D55:D60"/>
    <mergeCell ref="E55:E60"/>
    <mergeCell ref="F55:F60"/>
    <mergeCell ref="A49:A54"/>
    <mergeCell ref="C49:C54"/>
    <mergeCell ref="D49:D54"/>
    <mergeCell ref="E49:E54"/>
    <mergeCell ref="F49:F54"/>
    <mergeCell ref="A10:H10"/>
    <mergeCell ref="I10:O10"/>
    <mergeCell ref="P10:X10"/>
    <mergeCell ref="Y10:AE10"/>
    <mergeCell ref="AG10:AN10"/>
    <mergeCell ref="N49:N54"/>
    <mergeCell ref="O49:O54"/>
    <mergeCell ref="G55:G60"/>
    <mergeCell ref="H55:H60"/>
    <mergeCell ref="I55:I60"/>
    <mergeCell ref="O55:O60"/>
    <mergeCell ref="L61:L66"/>
    <mergeCell ref="M61:M66"/>
    <mergeCell ref="K61:K66"/>
    <mergeCell ref="K67:K72"/>
    <mergeCell ref="L67:L72"/>
    <mergeCell ref="M67:M72"/>
    <mergeCell ref="N67:N72"/>
    <mergeCell ref="O67:O72"/>
    <mergeCell ref="K55:K60"/>
    <mergeCell ref="N61:N66"/>
    <mergeCell ref="O61:O66"/>
    <mergeCell ref="J37:J42"/>
    <mergeCell ref="K37:K42"/>
    <mergeCell ref="H43:H48"/>
    <mergeCell ref="I43:I48"/>
    <mergeCell ref="J43:J48"/>
    <mergeCell ref="L37:L42"/>
    <mergeCell ref="M37:M42"/>
    <mergeCell ref="A55:A60"/>
    <mergeCell ref="J67:J72"/>
    <mergeCell ref="B67:B72"/>
    <mergeCell ref="B37:B42"/>
    <mergeCell ref="B43:B48"/>
    <mergeCell ref="B49:B54"/>
    <mergeCell ref="B55:B60"/>
    <mergeCell ref="J55:J60"/>
    <mergeCell ref="G49:G54"/>
    <mergeCell ref="H49:H54"/>
    <mergeCell ref="N37:N42"/>
    <mergeCell ref="O37:O42"/>
    <mergeCell ref="N43:N48"/>
    <mergeCell ref="O43:O48"/>
    <mergeCell ref="K49:K54"/>
    <mergeCell ref="L49:L54"/>
    <mergeCell ref="M49:M54"/>
    <mergeCell ref="A37:A42"/>
    <mergeCell ref="C37:C42"/>
    <mergeCell ref="D37:D42"/>
    <mergeCell ref="A43:A48"/>
    <mergeCell ref="C43:C48"/>
    <mergeCell ref="D43:D48"/>
    <mergeCell ref="E43:E48"/>
    <mergeCell ref="F43:F48"/>
    <mergeCell ref="G43:G48"/>
    <mergeCell ref="E37:E42"/>
    <mergeCell ref="F37:F42"/>
    <mergeCell ref="K43:K48"/>
    <mergeCell ref="L43:L48"/>
    <mergeCell ref="M43:M48"/>
    <mergeCell ref="G37:G42"/>
    <mergeCell ref="H37:H42"/>
    <mergeCell ref="I37:I42"/>
    <mergeCell ref="B19:B24"/>
    <mergeCell ref="B25:B30"/>
    <mergeCell ref="J19:J24"/>
    <mergeCell ref="K19:K24"/>
    <mergeCell ref="K25:K30"/>
    <mergeCell ref="L25:L30"/>
    <mergeCell ref="M25:M30"/>
    <mergeCell ref="B31:B36"/>
    <mergeCell ref="A31:A36"/>
    <mergeCell ref="C31:C36"/>
    <mergeCell ref="D31:D36"/>
    <mergeCell ref="E31:E36"/>
    <mergeCell ref="F31:F36"/>
    <mergeCell ref="G31:G36"/>
    <mergeCell ref="H31:H36"/>
    <mergeCell ref="I31:I36"/>
    <mergeCell ref="J31:J36"/>
    <mergeCell ref="A13:A18"/>
    <mergeCell ref="C13:C18"/>
    <mergeCell ref="D13:D18"/>
    <mergeCell ref="E13:E18"/>
    <mergeCell ref="F13:F18"/>
    <mergeCell ref="O13:O18"/>
    <mergeCell ref="J13:J18"/>
    <mergeCell ref="K13:K18"/>
    <mergeCell ref="L13:L18"/>
    <mergeCell ref="M13:M18"/>
    <mergeCell ref="N13:N18"/>
    <mergeCell ref="K31:K36"/>
    <mergeCell ref="L31:L36"/>
    <mergeCell ref="M31:M36"/>
    <mergeCell ref="N31:N36"/>
    <mergeCell ref="O31:O36"/>
    <mergeCell ref="P6:R6"/>
    <mergeCell ref="A19:A24"/>
    <mergeCell ref="C19:C24"/>
    <mergeCell ref="D19:D24"/>
    <mergeCell ref="A25:A30"/>
    <mergeCell ref="C25:C30"/>
    <mergeCell ref="D25:D30"/>
    <mergeCell ref="E25:E30"/>
    <mergeCell ref="F25:F30"/>
    <mergeCell ref="G25:G30"/>
    <mergeCell ref="H25:H30"/>
    <mergeCell ref="I25:I30"/>
    <mergeCell ref="J25:J30"/>
    <mergeCell ref="N25:N30"/>
    <mergeCell ref="O25:O30"/>
    <mergeCell ref="E19:E24"/>
    <mergeCell ref="AE11:AE12"/>
    <mergeCell ref="P11:P12"/>
    <mergeCell ref="AN37:AN42"/>
    <mergeCell ref="AN43:AN48"/>
    <mergeCell ref="AN49:AN54"/>
    <mergeCell ref="AN55:AN60"/>
    <mergeCell ref="AN61:AN66"/>
    <mergeCell ref="AM67:AM72"/>
    <mergeCell ref="S11:X11"/>
    <mergeCell ref="I11:I12"/>
    <mergeCell ref="J11:J12"/>
    <mergeCell ref="M11:M12"/>
    <mergeCell ref="N11:N12"/>
    <mergeCell ref="C11:C12"/>
    <mergeCell ref="O11:O12"/>
    <mergeCell ref="K11:K12"/>
    <mergeCell ref="L11:L12"/>
    <mergeCell ref="R11:R12"/>
    <mergeCell ref="F19:F24"/>
    <mergeCell ref="L19:L24"/>
    <mergeCell ref="M19:M24"/>
    <mergeCell ref="N19:N24"/>
    <mergeCell ref="O19:O24"/>
    <mergeCell ref="G19:G24"/>
    <mergeCell ref="H19:H24"/>
    <mergeCell ref="I19:I24"/>
    <mergeCell ref="Q11:Q12"/>
    <mergeCell ref="AF11:AF12"/>
    <mergeCell ref="AN11:AN12"/>
    <mergeCell ref="AN25:AN30"/>
    <mergeCell ref="AN31:AN36"/>
    <mergeCell ref="F3:F4"/>
    <mergeCell ref="A6:B6"/>
    <mergeCell ref="C6:O6"/>
    <mergeCell ref="C7:O7"/>
    <mergeCell ref="C8:O8"/>
    <mergeCell ref="B11:B12"/>
    <mergeCell ref="A11:A12"/>
    <mergeCell ref="G11:G12"/>
    <mergeCell ref="F11:F12"/>
    <mergeCell ref="E11:E12"/>
    <mergeCell ref="D11:D12"/>
    <mergeCell ref="A9:B9"/>
    <mergeCell ref="A1:B4"/>
    <mergeCell ref="C1:E2"/>
    <mergeCell ref="C3:E4"/>
    <mergeCell ref="AM11:AM12"/>
    <mergeCell ref="B13:B18"/>
    <mergeCell ref="AH11:AH12"/>
    <mergeCell ref="AI11:AI12"/>
    <mergeCell ref="AJ11:AJ12"/>
    <mergeCell ref="G13:G18"/>
    <mergeCell ref="H13:H18"/>
    <mergeCell ref="I13:I18"/>
    <mergeCell ref="AB11:AB12"/>
    <mergeCell ref="Z11:Z12"/>
    <mergeCell ref="AA11:AA12"/>
    <mergeCell ref="H11:H12"/>
    <mergeCell ref="AL11:AL12"/>
    <mergeCell ref="AK11:AK12"/>
    <mergeCell ref="AG11:AG12"/>
    <mergeCell ref="G79:G84"/>
    <mergeCell ref="H79:H84"/>
    <mergeCell ref="AD11:AD12"/>
    <mergeCell ref="AC11:AC12"/>
    <mergeCell ref="Y11:Y12"/>
    <mergeCell ref="K73:K78"/>
    <mergeCell ref="L73:L78"/>
    <mergeCell ref="M73:M78"/>
    <mergeCell ref="N73:N78"/>
    <mergeCell ref="O73:O78"/>
    <mergeCell ref="AM73:AM78"/>
    <mergeCell ref="AN73:AN78"/>
    <mergeCell ref="B73:B78"/>
    <mergeCell ref="C73:C78"/>
    <mergeCell ref="D73:D78"/>
    <mergeCell ref="E73:E78"/>
    <mergeCell ref="F73:F78"/>
    <mergeCell ref="G73:G78"/>
    <mergeCell ref="H73:H78"/>
    <mergeCell ref="I73:I78"/>
    <mergeCell ref="AN67:AN72"/>
    <mergeCell ref="AM13:AM18"/>
    <mergeCell ref="AM19:AM24"/>
    <mergeCell ref="AM25:AM30"/>
    <mergeCell ref="AM31:AM36"/>
    <mergeCell ref="AM37:AM42"/>
    <mergeCell ref="AM43:AM48"/>
    <mergeCell ref="AM49:AM54"/>
    <mergeCell ref="AM55:AM60"/>
    <mergeCell ref="AM61:AM66"/>
    <mergeCell ref="AN13:AN18"/>
    <mergeCell ref="AN19:AN24"/>
    <mergeCell ref="B103:B108"/>
    <mergeCell ref="C103:C108"/>
    <mergeCell ref="J91:J96"/>
    <mergeCell ref="J73:J78"/>
    <mergeCell ref="K91:K96"/>
    <mergeCell ref="L91:L96"/>
    <mergeCell ref="M91:M96"/>
    <mergeCell ref="N91:N96"/>
    <mergeCell ref="O91:O96"/>
    <mergeCell ref="AM91:AM96"/>
    <mergeCell ref="AN91:AN96"/>
    <mergeCell ref="B97:B102"/>
    <mergeCell ref="C97:C102"/>
    <mergeCell ref="D97:D102"/>
    <mergeCell ref="E97:E102"/>
    <mergeCell ref="F97:F102"/>
    <mergeCell ref="G97:G102"/>
    <mergeCell ref="H97:H102"/>
    <mergeCell ref="I97:I102"/>
    <mergeCell ref="J97:J102"/>
    <mergeCell ref="K97:K102"/>
    <mergeCell ref="L97:L102"/>
    <mergeCell ref="M97:M102"/>
    <mergeCell ref="N97:N102"/>
    <mergeCell ref="O97:O102"/>
    <mergeCell ref="AM97:AM102"/>
    <mergeCell ref="AN97:AN102"/>
    <mergeCell ref="B91:B96"/>
    <mergeCell ref="O79:O84"/>
    <mergeCell ref="AM79:AM84"/>
    <mergeCell ref="AN79:AN84"/>
    <mergeCell ref="F79:F84"/>
    <mergeCell ref="B121:B126"/>
    <mergeCell ref="C121:C126"/>
    <mergeCell ref="D121:D126"/>
    <mergeCell ref="E121:E126"/>
    <mergeCell ref="F121:F126"/>
    <mergeCell ref="G121:G126"/>
    <mergeCell ref="H121:H126"/>
    <mergeCell ref="I121:I126"/>
    <mergeCell ref="J121:J126"/>
    <mergeCell ref="K121:K126"/>
    <mergeCell ref="L121:L126"/>
    <mergeCell ref="M121:M126"/>
    <mergeCell ref="N121:N126"/>
    <mergeCell ref="O121:O126"/>
    <mergeCell ref="AM121:AM126"/>
    <mergeCell ref="AN121:AN126"/>
    <mergeCell ref="L103:L108"/>
    <mergeCell ref="M103:M108"/>
    <mergeCell ref="N103:N108"/>
    <mergeCell ref="O103:O108"/>
    <mergeCell ref="AM103:AM108"/>
    <mergeCell ref="AN103:AN108"/>
    <mergeCell ref="B109:B114"/>
    <mergeCell ref="C109:C114"/>
    <mergeCell ref="D109:D114"/>
    <mergeCell ref="E109:E114"/>
    <mergeCell ref="F109:F114"/>
    <mergeCell ref="G109:G114"/>
    <mergeCell ref="H109:H114"/>
    <mergeCell ref="I109:I114"/>
    <mergeCell ref="J109:J114"/>
    <mergeCell ref="K109:K114"/>
    <mergeCell ref="C127:C132"/>
    <mergeCell ref="J115:J120"/>
    <mergeCell ref="K103:K108"/>
    <mergeCell ref="D103:D108"/>
    <mergeCell ref="E103:E108"/>
    <mergeCell ref="F103:F108"/>
    <mergeCell ref="G103:G108"/>
    <mergeCell ref="H103:H108"/>
    <mergeCell ref="I103:I108"/>
    <mergeCell ref="J103:J108"/>
    <mergeCell ref="K115:K120"/>
    <mergeCell ref="L115:L120"/>
    <mergeCell ref="M115:M120"/>
    <mergeCell ref="N115:N120"/>
    <mergeCell ref="O115:O120"/>
    <mergeCell ref="AM115:AM120"/>
    <mergeCell ref="AN115:AN120"/>
    <mergeCell ref="L109:L114"/>
    <mergeCell ref="M109:M114"/>
    <mergeCell ref="N109:N114"/>
    <mergeCell ref="O109:O114"/>
    <mergeCell ref="AM109:AM114"/>
    <mergeCell ref="AN109:AN114"/>
    <mergeCell ref="K127:K132"/>
    <mergeCell ref="D127:D132"/>
    <mergeCell ref="E127:E132"/>
    <mergeCell ref="F127:F132"/>
    <mergeCell ref="G127:G132"/>
    <mergeCell ref="H127:H132"/>
    <mergeCell ref="I127:I132"/>
    <mergeCell ref="J127:J132"/>
    <mergeCell ref="K139:K144"/>
    <mergeCell ref="L127:L132"/>
    <mergeCell ref="M127:M132"/>
    <mergeCell ref="N127:N132"/>
    <mergeCell ref="O127:O132"/>
    <mergeCell ref="AM127:AM132"/>
    <mergeCell ref="AN127:AN132"/>
    <mergeCell ref="B133:B138"/>
    <mergeCell ref="C133:C138"/>
    <mergeCell ref="D133:D138"/>
    <mergeCell ref="E133:E138"/>
    <mergeCell ref="F133:F138"/>
    <mergeCell ref="G133:G138"/>
    <mergeCell ref="H133:H138"/>
    <mergeCell ref="I133:I138"/>
    <mergeCell ref="J133:J138"/>
    <mergeCell ref="K133:K138"/>
    <mergeCell ref="L133:L138"/>
    <mergeCell ref="M133:M138"/>
    <mergeCell ref="N133:N138"/>
    <mergeCell ref="O133:O138"/>
    <mergeCell ref="AM133:AM138"/>
    <mergeCell ref="AN133:AN138"/>
    <mergeCell ref="B127:B132"/>
    <mergeCell ref="L139:L144"/>
    <mergeCell ref="M139:M144"/>
    <mergeCell ref="N139:N144"/>
    <mergeCell ref="O139:O144"/>
    <mergeCell ref="AM139:AM144"/>
    <mergeCell ref="AN139:AN144"/>
    <mergeCell ref="B145:B150"/>
    <mergeCell ref="C145:C150"/>
    <mergeCell ref="D145:D150"/>
    <mergeCell ref="E145:E150"/>
    <mergeCell ref="F145:F150"/>
    <mergeCell ref="G145:G150"/>
    <mergeCell ref="H145:H150"/>
    <mergeCell ref="I145:I150"/>
    <mergeCell ref="J145:J150"/>
    <mergeCell ref="K145:K150"/>
    <mergeCell ref="L145:L150"/>
    <mergeCell ref="M145:M150"/>
    <mergeCell ref="N145:N150"/>
    <mergeCell ref="O145:O150"/>
    <mergeCell ref="AM145:AM150"/>
    <mergeCell ref="AN145:AN150"/>
    <mergeCell ref="B139:B144"/>
    <mergeCell ref="C139:C144"/>
    <mergeCell ref="D139:D144"/>
    <mergeCell ref="E139:E144"/>
    <mergeCell ref="F139:F144"/>
    <mergeCell ref="G139:G144"/>
    <mergeCell ref="H139:H144"/>
    <mergeCell ref="I139:I144"/>
    <mergeCell ref="J139:J144"/>
    <mergeCell ref="AM151:AM156"/>
    <mergeCell ref="B157:B162"/>
    <mergeCell ref="C157:C162"/>
    <mergeCell ref="D157:D162"/>
    <mergeCell ref="E157:E162"/>
    <mergeCell ref="F157:F162"/>
    <mergeCell ref="G157:G162"/>
    <mergeCell ref="H157:H162"/>
    <mergeCell ref="I157:I162"/>
    <mergeCell ref="J157:J162"/>
    <mergeCell ref="K157:K162"/>
    <mergeCell ref="L157:L162"/>
    <mergeCell ref="M157:M162"/>
    <mergeCell ref="N157:N162"/>
    <mergeCell ref="O157:O162"/>
    <mergeCell ref="AM157:AM162"/>
    <mergeCell ref="B151:B156"/>
    <mergeCell ref="C151:C156"/>
    <mergeCell ref="D151:D156"/>
    <mergeCell ref="E151:E156"/>
    <mergeCell ref="F151:F156"/>
    <mergeCell ref="G151:G156"/>
    <mergeCell ref="L175:L180"/>
    <mergeCell ref="M175:M180"/>
    <mergeCell ref="G175:G180"/>
    <mergeCell ref="H175:H180"/>
    <mergeCell ref="I175:I180"/>
    <mergeCell ref="K151:K156"/>
    <mergeCell ref="L151:L156"/>
    <mergeCell ref="M151:M156"/>
    <mergeCell ref="H151:H156"/>
    <mergeCell ref="I151:I156"/>
    <mergeCell ref="J151:J156"/>
    <mergeCell ref="K163:K168"/>
    <mergeCell ref="L163:L168"/>
    <mergeCell ref="M163:M168"/>
    <mergeCell ref="N163:N168"/>
    <mergeCell ref="O163:O168"/>
    <mergeCell ref="N151:N156"/>
    <mergeCell ref="O151:O156"/>
    <mergeCell ref="AM163:AM168"/>
    <mergeCell ref="B169:B174"/>
    <mergeCell ref="C169:C174"/>
    <mergeCell ref="D169:D174"/>
    <mergeCell ref="E169:E174"/>
    <mergeCell ref="F169:F174"/>
    <mergeCell ref="G169:G174"/>
    <mergeCell ref="H169:H174"/>
    <mergeCell ref="I169:I174"/>
    <mergeCell ref="J169:J174"/>
    <mergeCell ref="K169:K174"/>
    <mergeCell ref="L169:L174"/>
    <mergeCell ref="M169:M174"/>
    <mergeCell ref="N169:N174"/>
    <mergeCell ref="O169:O174"/>
    <mergeCell ref="AM169:AM174"/>
    <mergeCell ref="B163:B168"/>
    <mergeCell ref="C163:C168"/>
    <mergeCell ref="D163:D168"/>
    <mergeCell ref="E163:E168"/>
    <mergeCell ref="F163:F168"/>
    <mergeCell ref="G163:G168"/>
    <mergeCell ref="H163:H168"/>
    <mergeCell ref="I163:I168"/>
    <mergeCell ref="J163:J168"/>
    <mergeCell ref="J175:J180"/>
    <mergeCell ref="K187:K192"/>
    <mergeCell ref="L187:L192"/>
    <mergeCell ref="M187:M192"/>
    <mergeCell ref="N187:N192"/>
    <mergeCell ref="N175:N180"/>
    <mergeCell ref="O175:O180"/>
    <mergeCell ref="AK175:AK176"/>
    <mergeCell ref="AM175:AM180"/>
    <mergeCell ref="B181:B186"/>
    <mergeCell ref="C181:C186"/>
    <mergeCell ref="D181:D186"/>
    <mergeCell ref="E181:E186"/>
    <mergeCell ref="F181:F186"/>
    <mergeCell ref="G181:G186"/>
    <mergeCell ref="H181:H186"/>
    <mergeCell ref="I181:I186"/>
    <mergeCell ref="J181:J186"/>
    <mergeCell ref="K181:K186"/>
    <mergeCell ref="L181:L186"/>
    <mergeCell ref="M181:M186"/>
    <mergeCell ref="N181:N186"/>
    <mergeCell ref="O181:O186"/>
    <mergeCell ref="AM181:AM186"/>
    <mergeCell ref="B175:B180"/>
    <mergeCell ref="C175:C180"/>
    <mergeCell ref="O187:O192"/>
    <mergeCell ref="AM187:AM192"/>
    <mergeCell ref="D175:D180"/>
    <mergeCell ref="E175:E180"/>
    <mergeCell ref="F175:F180"/>
    <mergeCell ref="K175:K180"/>
    <mergeCell ref="J205:J210"/>
    <mergeCell ref="B193:B198"/>
    <mergeCell ref="C193:C198"/>
    <mergeCell ref="D193:D198"/>
    <mergeCell ref="E193:E198"/>
    <mergeCell ref="F193:F198"/>
    <mergeCell ref="G193:G198"/>
    <mergeCell ref="H193:H198"/>
    <mergeCell ref="I193:I198"/>
    <mergeCell ref="J193:J198"/>
    <mergeCell ref="K193:K198"/>
    <mergeCell ref="L193:L198"/>
    <mergeCell ref="M193:M198"/>
    <mergeCell ref="N193:N198"/>
    <mergeCell ref="O193:O198"/>
    <mergeCell ref="AM193:AM198"/>
    <mergeCell ref="B187:B192"/>
    <mergeCell ref="C187:C192"/>
    <mergeCell ref="D187:D192"/>
    <mergeCell ref="E187:E192"/>
    <mergeCell ref="F187:F192"/>
    <mergeCell ref="G187:G192"/>
    <mergeCell ref="H187:H192"/>
    <mergeCell ref="I187:I192"/>
    <mergeCell ref="J187:J192"/>
    <mergeCell ref="AN193:AN198"/>
    <mergeCell ref="B199:B204"/>
    <mergeCell ref="C199:C204"/>
    <mergeCell ref="D199:D204"/>
    <mergeCell ref="E199:E204"/>
    <mergeCell ref="F199:F204"/>
    <mergeCell ref="G199:G204"/>
    <mergeCell ref="H199:H204"/>
    <mergeCell ref="I199:I204"/>
    <mergeCell ref="J199:J204"/>
    <mergeCell ref="K199:K204"/>
    <mergeCell ref="L199:L204"/>
    <mergeCell ref="M199:M204"/>
    <mergeCell ref="N199:N204"/>
    <mergeCell ref="O199:O204"/>
    <mergeCell ref="AM199:AM204"/>
    <mergeCell ref="AN199:AN204"/>
    <mergeCell ref="K217:K222"/>
    <mergeCell ref="L205:L210"/>
    <mergeCell ref="M205:M210"/>
    <mergeCell ref="N205:N210"/>
    <mergeCell ref="O205:O210"/>
    <mergeCell ref="AM205:AM210"/>
    <mergeCell ref="AN205:AN210"/>
    <mergeCell ref="B211:B216"/>
    <mergeCell ref="C211:C216"/>
    <mergeCell ref="D211:D216"/>
    <mergeCell ref="E211:E216"/>
    <mergeCell ref="F211:F216"/>
    <mergeCell ref="G211:G216"/>
    <mergeCell ref="H211:H216"/>
    <mergeCell ref="I211:I216"/>
    <mergeCell ref="J211:J216"/>
    <mergeCell ref="K211:K216"/>
    <mergeCell ref="L211:L216"/>
    <mergeCell ref="M211:M216"/>
    <mergeCell ref="N211:N216"/>
    <mergeCell ref="O211:O216"/>
    <mergeCell ref="AM211:AM216"/>
    <mergeCell ref="AN211:AN216"/>
    <mergeCell ref="B205:B210"/>
    <mergeCell ref="C205:C210"/>
    <mergeCell ref="K205:K210"/>
    <mergeCell ref="D205:D210"/>
    <mergeCell ref="E205:E210"/>
    <mergeCell ref="F205:F210"/>
    <mergeCell ref="G205:G210"/>
    <mergeCell ref="H205:H210"/>
    <mergeCell ref="I205:I210"/>
    <mergeCell ref="C229:C234"/>
    <mergeCell ref="L217:L222"/>
    <mergeCell ref="M217:M222"/>
    <mergeCell ref="N217:N222"/>
    <mergeCell ref="O217:O222"/>
    <mergeCell ref="AM217:AM222"/>
    <mergeCell ref="AN217:AN222"/>
    <mergeCell ref="B223:B228"/>
    <mergeCell ref="C223:C228"/>
    <mergeCell ref="D223:D228"/>
    <mergeCell ref="E223:E228"/>
    <mergeCell ref="F223:F228"/>
    <mergeCell ref="G223:G228"/>
    <mergeCell ref="H223:H228"/>
    <mergeCell ref="I223:I228"/>
    <mergeCell ref="J223:J228"/>
    <mergeCell ref="K223:K228"/>
    <mergeCell ref="L223:L228"/>
    <mergeCell ref="M223:M228"/>
    <mergeCell ref="N223:N228"/>
    <mergeCell ref="O223:O228"/>
    <mergeCell ref="AM223:AM228"/>
    <mergeCell ref="AN223:AN228"/>
    <mergeCell ref="B217:B222"/>
    <mergeCell ref="C217:C222"/>
    <mergeCell ref="D217:D222"/>
    <mergeCell ref="E217:E222"/>
    <mergeCell ref="F217:F222"/>
    <mergeCell ref="G217:G222"/>
    <mergeCell ref="H217:H222"/>
    <mergeCell ref="I217:I222"/>
    <mergeCell ref="J217:J222"/>
    <mergeCell ref="K229:K234"/>
    <mergeCell ref="D229:D234"/>
    <mergeCell ref="E229:E234"/>
    <mergeCell ref="F229:F234"/>
    <mergeCell ref="G229:G234"/>
    <mergeCell ref="H229:H234"/>
    <mergeCell ref="I229:I234"/>
    <mergeCell ref="J229:J234"/>
    <mergeCell ref="K241:K246"/>
    <mergeCell ref="L229:L234"/>
    <mergeCell ref="M229:M234"/>
    <mergeCell ref="N229:N234"/>
    <mergeCell ref="O229:O234"/>
    <mergeCell ref="AM229:AM234"/>
    <mergeCell ref="AN229:AN234"/>
    <mergeCell ref="B235:B240"/>
    <mergeCell ref="C235:C240"/>
    <mergeCell ref="D235:D240"/>
    <mergeCell ref="E235:E240"/>
    <mergeCell ref="F235:F240"/>
    <mergeCell ref="G235:G240"/>
    <mergeCell ref="H235:H240"/>
    <mergeCell ref="I235:I240"/>
    <mergeCell ref="J235:J240"/>
    <mergeCell ref="K235:K240"/>
    <mergeCell ref="L235:L240"/>
    <mergeCell ref="M235:M240"/>
    <mergeCell ref="N235:N240"/>
    <mergeCell ref="O235:O240"/>
    <mergeCell ref="AM235:AM240"/>
    <mergeCell ref="AN235:AN240"/>
    <mergeCell ref="B229:B234"/>
    <mergeCell ref="L241:L246"/>
    <mergeCell ref="M241:M246"/>
    <mergeCell ref="N241:N246"/>
    <mergeCell ref="O241:O246"/>
    <mergeCell ref="AM241:AM246"/>
    <mergeCell ref="AN241:AN246"/>
    <mergeCell ref="B247:B252"/>
    <mergeCell ref="C247:C252"/>
    <mergeCell ref="D247:D252"/>
    <mergeCell ref="E247:E252"/>
    <mergeCell ref="F247:F252"/>
    <mergeCell ref="G247:G252"/>
    <mergeCell ref="H247:H252"/>
    <mergeCell ref="I247:I252"/>
    <mergeCell ref="J247:J252"/>
    <mergeCell ref="K247:K252"/>
    <mergeCell ref="L247:L252"/>
    <mergeCell ref="M247:M252"/>
    <mergeCell ref="N247:N252"/>
    <mergeCell ref="O247:O252"/>
    <mergeCell ref="AM247:AM252"/>
    <mergeCell ref="AN247:AN252"/>
    <mergeCell ref="B241:B246"/>
    <mergeCell ref="C241:C246"/>
    <mergeCell ref="D241:D246"/>
    <mergeCell ref="E241:E246"/>
    <mergeCell ref="F241:F246"/>
    <mergeCell ref="G241:G246"/>
    <mergeCell ref="H241:H246"/>
    <mergeCell ref="I241:I246"/>
    <mergeCell ref="J241:J246"/>
    <mergeCell ref="K253:K258"/>
    <mergeCell ref="L253:L258"/>
    <mergeCell ref="M253:M258"/>
    <mergeCell ref="N253:N258"/>
    <mergeCell ref="O253:O258"/>
    <mergeCell ref="AM253:AM258"/>
    <mergeCell ref="AN253:AN258"/>
    <mergeCell ref="B253:B258"/>
    <mergeCell ref="C253:C258"/>
    <mergeCell ref="D253:D258"/>
    <mergeCell ref="E253:E258"/>
    <mergeCell ref="F253:F258"/>
    <mergeCell ref="G253:G258"/>
    <mergeCell ref="H253:H258"/>
    <mergeCell ref="I253:I258"/>
    <mergeCell ref="J253:J258"/>
    <mergeCell ref="E445:E450"/>
    <mergeCell ref="O259:O264"/>
    <mergeCell ref="AM259:AM264"/>
    <mergeCell ref="AN259:AN264"/>
    <mergeCell ref="D265:D270"/>
    <mergeCell ref="E265:E270"/>
    <mergeCell ref="F265:F270"/>
    <mergeCell ref="G265:G270"/>
    <mergeCell ref="H265:H270"/>
    <mergeCell ref="I265:I270"/>
    <mergeCell ref="J265:J270"/>
    <mergeCell ref="K265:K270"/>
    <mergeCell ref="L265:L270"/>
    <mergeCell ref="M265:M270"/>
    <mergeCell ref="N265:N270"/>
    <mergeCell ref="O265:O270"/>
    <mergeCell ref="N483:N488"/>
    <mergeCell ref="O483:O488"/>
    <mergeCell ref="AM483:AM488"/>
    <mergeCell ref="AN483:AN488"/>
    <mergeCell ref="B489:B494"/>
    <mergeCell ref="C489:C494"/>
    <mergeCell ref="D489:D494"/>
    <mergeCell ref="E489:E494"/>
    <mergeCell ref="F489:F494"/>
    <mergeCell ref="G489:G494"/>
    <mergeCell ref="H489:H494"/>
    <mergeCell ref="I489:I494"/>
    <mergeCell ref="J489:J494"/>
    <mergeCell ref="K489:K494"/>
    <mergeCell ref="L489:L494"/>
    <mergeCell ref="M489:M494"/>
    <mergeCell ref="N489:N494"/>
    <mergeCell ref="O489:O494"/>
    <mergeCell ref="AM489:AM494"/>
    <mergeCell ref="AN489:AN494"/>
    <mergeCell ref="B483:B488"/>
    <mergeCell ref="C483:C488"/>
    <mergeCell ref="D483:D488"/>
    <mergeCell ref="E483:E488"/>
    <mergeCell ref="F483:F488"/>
    <mergeCell ref="G483:G488"/>
    <mergeCell ref="H483:H488"/>
    <mergeCell ref="I483:I488"/>
    <mergeCell ref="J483:J488"/>
    <mergeCell ref="K483:K488"/>
    <mergeCell ref="L483:L488"/>
    <mergeCell ref="M483:M488"/>
    <mergeCell ref="B495:B500"/>
    <mergeCell ref="C495:C500"/>
    <mergeCell ref="D495:D500"/>
    <mergeCell ref="E495:E500"/>
    <mergeCell ref="F495:F500"/>
    <mergeCell ref="G495:G500"/>
    <mergeCell ref="H495:H500"/>
    <mergeCell ref="I495:I500"/>
    <mergeCell ref="J495:J500"/>
    <mergeCell ref="K495:K500"/>
    <mergeCell ref="L495:L500"/>
    <mergeCell ref="M495:M500"/>
    <mergeCell ref="N495:N500"/>
    <mergeCell ref="O495:O500"/>
    <mergeCell ref="AM495:AM500"/>
    <mergeCell ref="AN495:AN500"/>
    <mergeCell ref="A495:A500"/>
    <mergeCell ref="B501:B507"/>
    <mergeCell ref="C501:C507"/>
    <mergeCell ref="D501:D507"/>
    <mergeCell ref="E501:E507"/>
    <mergeCell ref="F501:F507"/>
    <mergeCell ref="G501:G507"/>
    <mergeCell ref="H501:H507"/>
    <mergeCell ref="I501:I507"/>
    <mergeCell ref="J501:J507"/>
    <mergeCell ref="K501:K507"/>
    <mergeCell ref="L501:L507"/>
    <mergeCell ref="M501:M507"/>
    <mergeCell ref="N501:N507"/>
    <mergeCell ref="O501:O507"/>
    <mergeCell ref="AM501:AM507"/>
    <mergeCell ref="AN501:AN507"/>
    <mergeCell ref="A501:A507"/>
    <mergeCell ref="B508:B513"/>
    <mergeCell ref="C508:C513"/>
    <mergeCell ref="D508:D513"/>
    <mergeCell ref="E508:E513"/>
    <mergeCell ref="F508:F513"/>
    <mergeCell ref="G508:G513"/>
    <mergeCell ref="H508:H513"/>
    <mergeCell ref="I508:I513"/>
    <mergeCell ref="J508:J513"/>
    <mergeCell ref="K508:K513"/>
    <mergeCell ref="L508:L513"/>
    <mergeCell ref="M508:M513"/>
    <mergeCell ref="N508:N513"/>
    <mergeCell ref="O508:O513"/>
    <mergeCell ref="AM508:AM513"/>
    <mergeCell ref="AN508:AN513"/>
    <mergeCell ref="B514:B519"/>
    <mergeCell ref="C514:C519"/>
    <mergeCell ref="D514:D519"/>
    <mergeCell ref="E514:E519"/>
    <mergeCell ref="F514:F519"/>
    <mergeCell ref="G514:G519"/>
    <mergeCell ref="H514:H519"/>
    <mergeCell ref="I514:I519"/>
    <mergeCell ref="J514:J519"/>
    <mergeCell ref="K514:K519"/>
    <mergeCell ref="L514:L519"/>
    <mergeCell ref="M514:M519"/>
    <mergeCell ref="N514:N519"/>
    <mergeCell ref="O514:O519"/>
    <mergeCell ref="AM514:AM519"/>
    <mergeCell ref="AN514:AN519"/>
    <mergeCell ref="B520:B525"/>
    <mergeCell ref="C520:C525"/>
    <mergeCell ref="D520:D525"/>
    <mergeCell ref="E520:E525"/>
    <mergeCell ref="F520:F525"/>
    <mergeCell ref="G520:G525"/>
    <mergeCell ref="H520:H525"/>
    <mergeCell ref="I520:I525"/>
    <mergeCell ref="J520:J525"/>
    <mergeCell ref="K520:K525"/>
    <mergeCell ref="L520:L525"/>
    <mergeCell ref="M520:M525"/>
    <mergeCell ref="N520:N525"/>
    <mergeCell ref="O520:O525"/>
    <mergeCell ref="AM520:AM525"/>
    <mergeCell ref="AN520:AN525"/>
    <mergeCell ref="B526:B531"/>
    <mergeCell ref="C526:C531"/>
    <mergeCell ref="D526:D531"/>
    <mergeCell ref="E526:E531"/>
    <mergeCell ref="F526:F531"/>
    <mergeCell ref="G526:G531"/>
    <mergeCell ref="H526:H531"/>
    <mergeCell ref="I526:I531"/>
    <mergeCell ref="J526:J531"/>
    <mergeCell ref="K526:K531"/>
    <mergeCell ref="L526:L531"/>
    <mergeCell ref="M526:M531"/>
    <mergeCell ref="N526:N531"/>
    <mergeCell ref="O526:O531"/>
    <mergeCell ref="AM526:AM531"/>
    <mergeCell ref="AN526:AN531"/>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AM85:AM90"/>
    <mergeCell ref="AN85:AN90"/>
  </mergeCells>
  <conditionalFormatting sqref="M13 M19 M25 M31 M37 M43 M49 M55 M61">
    <cfRule type="cellIs" dxfId="2507" priority="3249" operator="equal">
      <formula>"Catastrófico"</formula>
    </cfRule>
    <cfRule type="cellIs" dxfId="2506" priority="3250" operator="equal">
      <formula>"Mayor"</formula>
    </cfRule>
    <cfRule type="cellIs" dxfId="2505" priority="3251" operator="equal">
      <formula>"Moderado"</formula>
    </cfRule>
    <cfRule type="cellIs" dxfId="2504" priority="3252" operator="equal">
      <formula>"Menor"</formula>
    </cfRule>
    <cfRule type="cellIs" dxfId="2503" priority="3253" operator="equal">
      <formula>"Leve"</formula>
    </cfRule>
  </conditionalFormatting>
  <conditionalFormatting sqref="O13">
    <cfRule type="cellIs" dxfId="2502" priority="3245" operator="equal">
      <formula>"Extremo"</formula>
    </cfRule>
    <cfRule type="cellIs" dxfId="2501" priority="3246" operator="equal">
      <formula>"Alto"</formula>
    </cfRule>
    <cfRule type="cellIs" dxfId="2500" priority="3247" operator="equal">
      <formula>"Moderado"</formula>
    </cfRule>
    <cfRule type="cellIs" dxfId="2499" priority="3248" operator="equal">
      <formula>"Bajo"</formula>
    </cfRule>
  </conditionalFormatting>
  <conditionalFormatting sqref="O19">
    <cfRule type="cellIs" dxfId="2498" priority="3175" operator="equal">
      <formula>"Extremo"</formula>
    </cfRule>
    <cfRule type="cellIs" dxfId="2497" priority="3176" operator="equal">
      <formula>"Alto"</formula>
    </cfRule>
    <cfRule type="cellIs" dxfId="2496" priority="3177" operator="equal">
      <formula>"Moderado"</formula>
    </cfRule>
    <cfRule type="cellIs" dxfId="2495" priority="3178" operator="equal">
      <formula>"Bajo"</formula>
    </cfRule>
  </conditionalFormatting>
  <conditionalFormatting sqref="O25">
    <cfRule type="cellIs" dxfId="2494" priority="3147" operator="equal">
      <formula>"Extremo"</formula>
    </cfRule>
    <cfRule type="cellIs" dxfId="2493" priority="3148" operator="equal">
      <formula>"Alto"</formula>
    </cfRule>
    <cfRule type="cellIs" dxfId="2492" priority="3149" operator="equal">
      <formula>"Moderado"</formula>
    </cfRule>
    <cfRule type="cellIs" dxfId="2491" priority="3150" operator="equal">
      <formula>"Bajo"</formula>
    </cfRule>
  </conditionalFormatting>
  <conditionalFormatting sqref="O31">
    <cfRule type="cellIs" dxfId="2490" priority="3119" operator="equal">
      <formula>"Extremo"</formula>
    </cfRule>
    <cfRule type="cellIs" dxfId="2489" priority="3120" operator="equal">
      <formula>"Alto"</formula>
    </cfRule>
    <cfRule type="cellIs" dxfId="2488" priority="3121" operator="equal">
      <formula>"Moderado"</formula>
    </cfRule>
    <cfRule type="cellIs" dxfId="2487" priority="3122" operator="equal">
      <formula>"Bajo"</formula>
    </cfRule>
  </conditionalFormatting>
  <conditionalFormatting sqref="O37">
    <cfRule type="cellIs" dxfId="2486" priority="3091" operator="equal">
      <formula>"Extremo"</formula>
    </cfRule>
    <cfRule type="cellIs" dxfId="2485" priority="3092" operator="equal">
      <formula>"Alto"</formula>
    </cfRule>
    <cfRule type="cellIs" dxfId="2484" priority="3093" operator="equal">
      <formula>"Moderado"</formula>
    </cfRule>
    <cfRule type="cellIs" dxfId="2483" priority="3094" operator="equal">
      <formula>"Bajo"</formula>
    </cfRule>
  </conditionalFormatting>
  <conditionalFormatting sqref="O43">
    <cfRule type="cellIs" dxfId="2482" priority="3063" operator="equal">
      <formula>"Extremo"</formula>
    </cfRule>
    <cfRule type="cellIs" dxfId="2481" priority="3064" operator="equal">
      <formula>"Alto"</formula>
    </cfRule>
    <cfRule type="cellIs" dxfId="2480" priority="3065" operator="equal">
      <formula>"Moderado"</formula>
    </cfRule>
    <cfRule type="cellIs" dxfId="2479" priority="3066" operator="equal">
      <formula>"Bajo"</formula>
    </cfRule>
  </conditionalFormatting>
  <conditionalFormatting sqref="O49">
    <cfRule type="cellIs" dxfId="2478" priority="3035" operator="equal">
      <formula>"Extremo"</formula>
    </cfRule>
    <cfRule type="cellIs" dxfId="2477" priority="3036" operator="equal">
      <formula>"Alto"</formula>
    </cfRule>
    <cfRule type="cellIs" dxfId="2476" priority="3037" operator="equal">
      <formula>"Moderado"</formula>
    </cfRule>
    <cfRule type="cellIs" dxfId="2475" priority="3038" operator="equal">
      <formula>"Bajo"</formula>
    </cfRule>
  </conditionalFormatting>
  <conditionalFormatting sqref="O55">
    <cfRule type="cellIs" dxfId="2474" priority="3007" operator="equal">
      <formula>"Extremo"</formula>
    </cfRule>
    <cfRule type="cellIs" dxfId="2473" priority="3008" operator="equal">
      <formula>"Alto"</formula>
    </cfRule>
    <cfRule type="cellIs" dxfId="2472" priority="3009" operator="equal">
      <formula>"Moderado"</formula>
    </cfRule>
    <cfRule type="cellIs" dxfId="2471" priority="3010" operator="equal">
      <formula>"Bajo"</formula>
    </cfRule>
  </conditionalFormatting>
  <conditionalFormatting sqref="O61">
    <cfRule type="cellIs" dxfId="2470" priority="2979" operator="equal">
      <formula>"Extremo"</formula>
    </cfRule>
    <cfRule type="cellIs" dxfId="2469" priority="2980" operator="equal">
      <formula>"Alto"</formula>
    </cfRule>
    <cfRule type="cellIs" dxfId="2468" priority="2981" operator="equal">
      <formula>"Moderado"</formula>
    </cfRule>
    <cfRule type="cellIs" dxfId="2467" priority="2982" operator="equal">
      <formula>"Bajo"</formula>
    </cfRule>
  </conditionalFormatting>
  <conditionalFormatting sqref="L13:L66">
    <cfRule type="containsText" dxfId="2466" priority="2936" operator="containsText" text="❌">
      <formula>NOT(ISERROR(SEARCH("❌",L13)))</formula>
    </cfRule>
  </conditionalFormatting>
  <conditionalFormatting sqref="Z19:Z24">
    <cfRule type="cellIs" dxfId="2465" priority="2805" operator="equal">
      <formula>"Muy Alta"</formula>
    </cfRule>
    <cfRule type="cellIs" dxfId="2464" priority="2806" operator="equal">
      <formula>"Alta"</formula>
    </cfRule>
    <cfRule type="cellIs" dxfId="2463" priority="2807" operator="equal">
      <formula>"Media"</formula>
    </cfRule>
    <cfRule type="cellIs" dxfId="2462" priority="2808" operator="equal">
      <formula>"Baja"</formula>
    </cfRule>
    <cfRule type="cellIs" dxfId="2461" priority="2809" operator="equal">
      <formula>"Muy Baja"</formula>
    </cfRule>
  </conditionalFormatting>
  <conditionalFormatting sqref="AB19:AB24">
    <cfRule type="cellIs" dxfId="2460" priority="2800" operator="equal">
      <formula>"Catastrófico"</formula>
    </cfRule>
    <cfRule type="cellIs" dxfId="2459" priority="2801" operator="equal">
      <formula>"Mayor"</formula>
    </cfRule>
    <cfRule type="cellIs" dxfId="2458" priority="2802" operator="equal">
      <formula>"Moderado"</formula>
    </cfRule>
    <cfRule type="cellIs" dxfId="2457" priority="2803" operator="equal">
      <formula>"Menor"</formula>
    </cfRule>
    <cfRule type="cellIs" dxfId="2456" priority="2804" operator="equal">
      <formula>"Leve"</formula>
    </cfRule>
  </conditionalFormatting>
  <conditionalFormatting sqref="AD19:AD24">
    <cfRule type="cellIs" dxfId="2455" priority="2796" operator="equal">
      <formula>"Extremo"</formula>
    </cfRule>
    <cfRule type="cellIs" dxfId="2454" priority="2797" operator="equal">
      <formula>"Alto"</formula>
    </cfRule>
    <cfRule type="cellIs" dxfId="2453" priority="2798" operator="equal">
      <formula>"Moderado"</formula>
    </cfRule>
    <cfRule type="cellIs" dxfId="2452" priority="2799" operator="equal">
      <formula>"Bajo"</formula>
    </cfRule>
  </conditionalFormatting>
  <conditionalFormatting sqref="I19">
    <cfRule type="cellIs" dxfId="2451" priority="2679" operator="equal">
      <formula>"Muy Alta"</formula>
    </cfRule>
    <cfRule type="cellIs" dxfId="2450" priority="2680" operator="equal">
      <formula>"Alta"</formula>
    </cfRule>
    <cfRule type="cellIs" dxfId="2449" priority="2681" operator="equal">
      <formula>"Media"</formula>
    </cfRule>
    <cfRule type="cellIs" dxfId="2448" priority="2682" operator="equal">
      <formula>"Baja"</formula>
    </cfRule>
    <cfRule type="cellIs" dxfId="2447" priority="2683" operator="equal">
      <formula>"Muy Baja"</formula>
    </cfRule>
  </conditionalFormatting>
  <conditionalFormatting sqref="I25">
    <cfRule type="cellIs" dxfId="2446" priority="2674" operator="equal">
      <formula>"Muy Alta"</formula>
    </cfRule>
    <cfRule type="cellIs" dxfId="2445" priority="2675" operator="equal">
      <formula>"Alta"</formula>
    </cfRule>
    <cfRule type="cellIs" dxfId="2444" priority="2676" operator="equal">
      <formula>"Media"</formula>
    </cfRule>
    <cfRule type="cellIs" dxfId="2443" priority="2677" operator="equal">
      <formula>"Baja"</formula>
    </cfRule>
    <cfRule type="cellIs" dxfId="2442" priority="2678" operator="equal">
      <formula>"Muy Baja"</formula>
    </cfRule>
  </conditionalFormatting>
  <conditionalFormatting sqref="I31">
    <cfRule type="cellIs" dxfId="2441" priority="2669" operator="equal">
      <formula>"Muy Alta"</formula>
    </cfRule>
    <cfRule type="cellIs" dxfId="2440" priority="2670" operator="equal">
      <formula>"Alta"</formula>
    </cfRule>
    <cfRule type="cellIs" dxfId="2439" priority="2671" operator="equal">
      <formula>"Media"</formula>
    </cfRule>
    <cfRule type="cellIs" dxfId="2438" priority="2672" operator="equal">
      <formula>"Baja"</formula>
    </cfRule>
    <cfRule type="cellIs" dxfId="2437" priority="2673" operator="equal">
      <formula>"Muy Baja"</formula>
    </cfRule>
  </conditionalFormatting>
  <conditionalFormatting sqref="I37">
    <cfRule type="cellIs" dxfId="2436" priority="2664" operator="equal">
      <formula>"Muy Alta"</formula>
    </cfRule>
    <cfRule type="cellIs" dxfId="2435" priority="2665" operator="equal">
      <formula>"Alta"</formula>
    </cfRule>
    <cfRule type="cellIs" dxfId="2434" priority="2666" operator="equal">
      <formula>"Media"</formula>
    </cfRule>
    <cfRule type="cellIs" dxfId="2433" priority="2667" operator="equal">
      <formula>"Baja"</formula>
    </cfRule>
    <cfRule type="cellIs" dxfId="2432" priority="2668" operator="equal">
      <formula>"Muy Baja"</formula>
    </cfRule>
  </conditionalFormatting>
  <conditionalFormatting sqref="I43">
    <cfRule type="cellIs" dxfId="2431" priority="2659" operator="equal">
      <formula>"Muy Alta"</formula>
    </cfRule>
    <cfRule type="cellIs" dxfId="2430" priority="2660" operator="equal">
      <formula>"Alta"</formula>
    </cfRule>
    <cfRule type="cellIs" dxfId="2429" priority="2661" operator="equal">
      <formula>"Media"</formula>
    </cfRule>
    <cfRule type="cellIs" dxfId="2428" priority="2662" operator="equal">
      <formula>"Baja"</formula>
    </cfRule>
    <cfRule type="cellIs" dxfId="2427" priority="2663" operator="equal">
      <formula>"Muy Baja"</formula>
    </cfRule>
  </conditionalFormatting>
  <conditionalFormatting sqref="I49">
    <cfRule type="cellIs" dxfId="2426" priority="2654" operator="equal">
      <formula>"Muy Alta"</formula>
    </cfRule>
    <cfRule type="cellIs" dxfId="2425" priority="2655" operator="equal">
      <formula>"Alta"</formula>
    </cfRule>
    <cfRule type="cellIs" dxfId="2424" priority="2656" operator="equal">
      <formula>"Media"</formula>
    </cfRule>
    <cfRule type="cellIs" dxfId="2423" priority="2657" operator="equal">
      <formula>"Baja"</formula>
    </cfRule>
    <cfRule type="cellIs" dxfId="2422" priority="2658" operator="equal">
      <formula>"Muy Baja"</formula>
    </cfRule>
  </conditionalFormatting>
  <conditionalFormatting sqref="I55">
    <cfRule type="cellIs" dxfId="2421" priority="2649" operator="equal">
      <formula>"Muy Alta"</formula>
    </cfRule>
    <cfRule type="cellIs" dxfId="2420" priority="2650" operator="equal">
      <formula>"Alta"</formula>
    </cfRule>
    <cfRule type="cellIs" dxfId="2419" priority="2651" operator="equal">
      <formula>"Media"</formula>
    </cfRule>
    <cfRule type="cellIs" dxfId="2418" priority="2652" operator="equal">
      <formula>"Baja"</formula>
    </cfRule>
    <cfRule type="cellIs" dxfId="2417" priority="2653" operator="equal">
      <formula>"Muy Baja"</formula>
    </cfRule>
  </conditionalFormatting>
  <conditionalFormatting sqref="I61">
    <cfRule type="cellIs" dxfId="2416" priority="2644" operator="equal">
      <formula>"Muy Alta"</formula>
    </cfRule>
    <cfRule type="cellIs" dxfId="2415" priority="2645" operator="equal">
      <formula>"Alta"</formula>
    </cfRule>
    <cfRule type="cellIs" dxfId="2414" priority="2646" operator="equal">
      <formula>"Media"</formula>
    </cfRule>
    <cfRule type="cellIs" dxfId="2413" priority="2647" operator="equal">
      <formula>"Baja"</formula>
    </cfRule>
    <cfRule type="cellIs" dxfId="2412" priority="2648" operator="equal">
      <formula>"Muy Baja"</formula>
    </cfRule>
  </conditionalFormatting>
  <conditionalFormatting sqref="I13">
    <cfRule type="cellIs" dxfId="2411" priority="2634" operator="equal">
      <formula>"Muy Alta"</formula>
    </cfRule>
    <cfRule type="cellIs" dxfId="2410" priority="2635" operator="equal">
      <formula>"Alta"</formula>
    </cfRule>
    <cfRule type="cellIs" dxfId="2409" priority="2636" operator="equal">
      <formula>"Media"</formula>
    </cfRule>
    <cfRule type="cellIs" dxfId="2408" priority="2637" operator="equal">
      <formula>"Baja"</formula>
    </cfRule>
    <cfRule type="cellIs" dxfId="2407" priority="2638" operator="equal">
      <formula>"Muy Baja"</formula>
    </cfRule>
  </conditionalFormatting>
  <conditionalFormatting sqref="Z13:Z18">
    <cfRule type="cellIs" dxfId="2406" priority="2629" operator="equal">
      <formula>"Muy Alta"</formula>
    </cfRule>
    <cfRule type="cellIs" dxfId="2405" priority="2630" operator="equal">
      <formula>"Alta"</formula>
    </cfRule>
    <cfRule type="cellIs" dxfId="2404" priority="2631" operator="equal">
      <formula>"Media"</formula>
    </cfRule>
    <cfRule type="cellIs" dxfId="2403" priority="2632" operator="equal">
      <formula>"Baja"</formula>
    </cfRule>
    <cfRule type="cellIs" dxfId="2402" priority="2633" operator="equal">
      <formula>"Muy Baja"</formula>
    </cfRule>
  </conditionalFormatting>
  <conditionalFormatting sqref="AB13:AB18">
    <cfRule type="cellIs" dxfId="2401" priority="2624" operator="equal">
      <formula>"Catastrófico"</formula>
    </cfRule>
    <cfRule type="cellIs" dxfId="2400" priority="2625" operator="equal">
      <formula>"Mayor"</formula>
    </cfRule>
    <cfRule type="cellIs" dxfId="2399" priority="2626" operator="equal">
      <formula>"Moderado"</formula>
    </cfRule>
    <cfRule type="cellIs" dxfId="2398" priority="2627" operator="equal">
      <formula>"Menor"</formula>
    </cfRule>
    <cfRule type="cellIs" dxfId="2397" priority="2628" operator="equal">
      <formula>"Leve"</formula>
    </cfRule>
  </conditionalFormatting>
  <conditionalFormatting sqref="AD13:AD18">
    <cfRule type="cellIs" dxfId="2396" priority="2620" operator="equal">
      <formula>"Extremo"</formula>
    </cfRule>
    <cfRule type="cellIs" dxfId="2395" priority="2621" operator="equal">
      <formula>"Alto"</formula>
    </cfRule>
    <cfRule type="cellIs" dxfId="2394" priority="2622" operator="equal">
      <formula>"Moderado"</formula>
    </cfRule>
    <cfRule type="cellIs" dxfId="2393" priority="2623" operator="equal">
      <formula>"Bajo"</formula>
    </cfRule>
  </conditionalFormatting>
  <conditionalFormatting sqref="Z25:Z30">
    <cfRule type="cellIs" dxfId="2392" priority="2615" operator="equal">
      <formula>"Muy Alta"</formula>
    </cfRule>
    <cfRule type="cellIs" dxfId="2391" priority="2616" operator="equal">
      <formula>"Alta"</formula>
    </cfRule>
    <cfRule type="cellIs" dxfId="2390" priority="2617" operator="equal">
      <formula>"Media"</formula>
    </cfRule>
    <cfRule type="cellIs" dxfId="2389" priority="2618" operator="equal">
      <formula>"Baja"</formula>
    </cfRule>
    <cfRule type="cellIs" dxfId="2388" priority="2619" operator="equal">
      <formula>"Muy Baja"</formula>
    </cfRule>
  </conditionalFormatting>
  <conditionalFormatting sqref="AB25:AB30">
    <cfRule type="cellIs" dxfId="2387" priority="2610" operator="equal">
      <formula>"Catastrófico"</formula>
    </cfRule>
    <cfRule type="cellIs" dxfId="2386" priority="2611" operator="equal">
      <formula>"Mayor"</formula>
    </cfRule>
    <cfRule type="cellIs" dxfId="2385" priority="2612" operator="equal">
      <formula>"Moderado"</formula>
    </cfRule>
    <cfRule type="cellIs" dxfId="2384" priority="2613" operator="equal">
      <formula>"Menor"</formula>
    </cfRule>
    <cfRule type="cellIs" dxfId="2383" priority="2614" operator="equal">
      <formula>"Leve"</formula>
    </cfRule>
  </conditionalFormatting>
  <conditionalFormatting sqref="AD25:AD30">
    <cfRule type="cellIs" dxfId="2382" priority="2606" operator="equal">
      <formula>"Extremo"</formula>
    </cfRule>
    <cfRule type="cellIs" dxfId="2381" priority="2607" operator="equal">
      <formula>"Alto"</formula>
    </cfRule>
    <cfRule type="cellIs" dxfId="2380" priority="2608" operator="equal">
      <formula>"Moderado"</formula>
    </cfRule>
    <cfRule type="cellIs" dxfId="2379" priority="2609" operator="equal">
      <formula>"Bajo"</formula>
    </cfRule>
  </conditionalFormatting>
  <conditionalFormatting sqref="Z31:Z36">
    <cfRule type="cellIs" dxfId="2378" priority="2601" operator="equal">
      <formula>"Muy Alta"</formula>
    </cfRule>
    <cfRule type="cellIs" dxfId="2377" priority="2602" operator="equal">
      <formula>"Alta"</formula>
    </cfRule>
    <cfRule type="cellIs" dxfId="2376" priority="2603" operator="equal">
      <formula>"Media"</formula>
    </cfRule>
    <cfRule type="cellIs" dxfId="2375" priority="2604" operator="equal">
      <formula>"Baja"</formula>
    </cfRule>
    <cfRule type="cellIs" dxfId="2374" priority="2605" operator="equal">
      <formula>"Muy Baja"</formula>
    </cfRule>
  </conditionalFormatting>
  <conditionalFormatting sqref="AB31:AB36">
    <cfRule type="cellIs" dxfId="2373" priority="2596" operator="equal">
      <formula>"Catastrófico"</formula>
    </cfRule>
    <cfRule type="cellIs" dxfId="2372" priority="2597" operator="equal">
      <formula>"Mayor"</formula>
    </cfRule>
    <cfRule type="cellIs" dxfId="2371" priority="2598" operator="equal">
      <formula>"Moderado"</formula>
    </cfRule>
    <cfRule type="cellIs" dxfId="2370" priority="2599" operator="equal">
      <formula>"Menor"</formula>
    </cfRule>
    <cfRule type="cellIs" dxfId="2369" priority="2600" operator="equal">
      <formula>"Leve"</formula>
    </cfRule>
  </conditionalFormatting>
  <conditionalFormatting sqref="AD31:AD36">
    <cfRule type="cellIs" dxfId="2368" priority="2592" operator="equal">
      <formula>"Extremo"</formula>
    </cfRule>
    <cfRule type="cellIs" dxfId="2367" priority="2593" operator="equal">
      <formula>"Alto"</formula>
    </cfRule>
    <cfRule type="cellIs" dxfId="2366" priority="2594" operator="equal">
      <formula>"Moderado"</formula>
    </cfRule>
    <cfRule type="cellIs" dxfId="2365" priority="2595" operator="equal">
      <formula>"Bajo"</formula>
    </cfRule>
  </conditionalFormatting>
  <conditionalFormatting sqref="Z37:Z42">
    <cfRule type="cellIs" dxfId="2364" priority="2587" operator="equal">
      <formula>"Muy Alta"</formula>
    </cfRule>
    <cfRule type="cellIs" dxfId="2363" priority="2588" operator="equal">
      <formula>"Alta"</formula>
    </cfRule>
    <cfRule type="cellIs" dxfId="2362" priority="2589" operator="equal">
      <formula>"Media"</formula>
    </cfRule>
    <cfRule type="cellIs" dxfId="2361" priority="2590" operator="equal">
      <formula>"Baja"</formula>
    </cfRule>
    <cfRule type="cellIs" dxfId="2360" priority="2591" operator="equal">
      <formula>"Muy Baja"</formula>
    </cfRule>
  </conditionalFormatting>
  <conditionalFormatting sqref="AB37:AB42">
    <cfRule type="cellIs" dxfId="2359" priority="2582" operator="equal">
      <formula>"Catastrófico"</formula>
    </cfRule>
    <cfRule type="cellIs" dxfId="2358" priority="2583" operator="equal">
      <formula>"Mayor"</formula>
    </cfRule>
    <cfRule type="cellIs" dxfId="2357" priority="2584" operator="equal">
      <formula>"Moderado"</formula>
    </cfRule>
    <cfRule type="cellIs" dxfId="2356" priority="2585" operator="equal">
      <formula>"Menor"</formula>
    </cfRule>
    <cfRule type="cellIs" dxfId="2355" priority="2586" operator="equal">
      <formula>"Leve"</formula>
    </cfRule>
  </conditionalFormatting>
  <conditionalFormatting sqref="AD37:AD42">
    <cfRule type="cellIs" dxfId="2354" priority="2578" operator="equal">
      <formula>"Extremo"</formula>
    </cfRule>
    <cfRule type="cellIs" dxfId="2353" priority="2579" operator="equal">
      <formula>"Alto"</formula>
    </cfRule>
    <cfRule type="cellIs" dxfId="2352" priority="2580" operator="equal">
      <formula>"Moderado"</formula>
    </cfRule>
    <cfRule type="cellIs" dxfId="2351" priority="2581" operator="equal">
      <formula>"Bajo"</formula>
    </cfRule>
  </conditionalFormatting>
  <conditionalFormatting sqref="Z43:Z48">
    <cfRule type="cellIs" dxfId="2350" priority="2573" operator="equal">
      <formula>"Muy Alta"</formula>
    </cfRule>
    <cfRule type="cellIs" dxfId="2349" priority="2574" operator="equal">
      <formula>"Alta"</formula>
    </cfRule>
    <cfRule type="cellIs" dxfId="2348" priority="2575" operator="equal">
      <formula>"Media"</formula>
    </cfRule>
    <cfRule type="cellIs" dxfId="2347" priority="2576" operator="equal">
      <formula>"Baja"</formula>
    </cfRule>
    <cfRule type="cellIs" dxfId="2346" priority="2577" operator="equal">
      <formula>"Muy Baja"</formula>
    </cfRule>
  </conditionalFormatting>
  <conditionalFormatting sqref="AB43:AB48">
    <cfRule type="cellIs" dxfId="2345" priority="2568" operator="equal">
      <formula>"Catastrófico"</formula>
    </cfRule>
    <cfRule type="cellIs" dxfId="2344" priority="2569" operator="equal">
      <formula>"Mayor"</formula>
    </cfRule>
    <cfRule type="cellIs" dxfId="2343" priority="2570" operator="equal">
      <formula>"Moderado"</formula>
    </cfRule>
    <cfRule type="cellIs" dxfId="2342" priority="2571" operator="equal">
      <formula>"Menor"</formula>
    </cfRule>
    <cfRule type="cellIs" dxfId="2341" priority="2572" operator="equal">
      <formula>"Leve"</formula>
    </cfRule>
  </conditionalFormatting>
  <conditionalFormatting sqref="AD43:AD48">
    <cfRule type="cellIs" dxfId="2340" priority="2564" operator="equal">
      <formula>"Extremo"</formula>
    </cfRule>
    <cfRule type="cellIs" dxfId="2339" priority="2565" operator="equal">
      <formula>"Alto"</formula>
    </cfRule>
    <cfRule type="cellIs" dxfId="2338" priority="2566" operator="equal">
      <formula>"Moderado"</formula>
    </cfRule>
    <cfRule type="cellIs" dxfId="2337" priority="2567" operator="equal">
      <formula>"Bajo"</formula>
    </cfRule>
  </conditionalFormatting>
  <conditionalFormatting sqref="Z49:Z54">
    <cfRule type="cellIs" dxfId="2336" priority="2559" operator="equal">
      <formula>"Muy Alta"</formula>
    </cfRule>
    <cfRule type="cellIs" dxfId="2335" priority="2560" operator="equal">
      <formula>"Alta"</formula>
    </cfRule>
    <cfRule type="cellIs" dxfId="2334" priority="2561" operator="equal">
      <formula>"Media"</formula>
    </cfRule>
    <cfRule type="cellIs" dxfId="2333" priority="2562" operator="equal">
      <formula>"Baja"</formula>
    </cfRule>
    <cfRule type="cellIs" dxfId="2332" priority="2563" operator="equal">
      <formula>"Muy Baja"</formula>
    </cfRule>
  </conditionalFormatting>
  <conditionalFormatting sqref="AB49:AB54">
    <cfRule type="cellIs" dxfId="2331" priority="2554" operator="equal">
      <formula>"Catastrófico"</formula>
    </cfRule>
    <cfRule type="cellIs" dxfId="2330" priority="2555" operator="equal">
      <formula>"Mayor"</formula>
    </cfRule>
    <cfRule type="cellIs" dxfId="2329" priority="2556" operator="equal">
      <formula>"Moderado"</formula>
    </cfRule>
    <cfRule type="cellIs" dxfId="2328" priority="2557" operator="equal">
      <formula>"Menor"</formula>
    </cfRule>
    <cfRule type="cellIs" dxfId="2327" priority="2558" operator="equal">
      <formula>"Leve"</formula>
    </cfRule>
  </conditionalFormatting>
  <conditionalFormatting sqref="AD49:AD54">
    <cfRule type="cellIs" dxfId="2326" priority="2550" operator="equal">
      <formula>"Extremo"</formula>
    </cfRule>
    <cfRule type="cellIs" dxfId="2325" priority="2551" operator="equal">
      <formula>"Alto"</formula>
    </cfRule>
    <cfRule type="cellIs" dxfId="2324" priority="2552" operator="equal">
      <formula>"Moderado"</formula>
    </cfRule>
    <cfRule type="cellIs" dxfId="2323" priority="2553" operator="equal">
      <formula>"Bajo"</formula>
    </cfRule>
  </conditionalFormatting>
  <conditionalFormatting sqref="Z55:Z60">
    <cfRule type="cellIs" dxfId="2322" priority="2545" operator="equal">
      <formula>"Muy Alta"</formula>
    </cfRule>
    <cfRule type="cellIs" dxfId="2321" priority="2546" operator="equal">
      <formula>"Alta"</formula>
    </cfRule>
    <cfRule type="cellIs" dxfId="2320" priority="2547" operator="equal">
      <formula>"Media"</formula>
    </cfRule>
    <cfRule type="cellIs" dxfId="2319" priority="2548" operator="equal">
      <formula>"Baja"</formula>
    </cfRule>
    <cfRule type="cellIs" dxfId="2318" priority="2549" operator="equal">
      <formula>"Muy Baja"</formula>
    </cfRule>
  </conditionalFormatting>
  <conditionalFormatting sqref="AB55:AB60">
    <cfRule type="cellIs" dxfId="2317" priority="2540" operator="equal">
      <formula>"Catastrófico"</formula>
    </cfRule>
    <cfRule type="cellIs" dxfId="2316" priority="2541" operator="equal">
      <formula>"Mayor"</formula>
    </cfRule>
    <cfRule type="cellIs" dxfId="2315" priority="2542" operator="equal">
      <formula>"Moderado"</formula>
    </cfRule>
    <cfRule type="cellIs" dxfId="2314" priority="2543" operator="equal">
      <formula>"Menor"</formula>
    </cfRule>
    <cfRule type="cellIs" dxfId="2313" priority="2544" operator="equal">
      <formula>"Leve"</formula>
    </cfRule>
  </conditionalFormatting>
  <conditionalFormatting sqref="AD55:AD60">
    <cfRule type="cellIs" dxfId="2312" priority="2536" operator="equal">
      <formula>"Extremo"</formula>
    </cfRule>
    <cfRule type="cellIs" dxfId="2311" priority="2537" operator="equal">
      <formula>"Alto"</formula>
    </cfRule>
    <cfRule type="cellIs" dxfId="2310" priority="2538" operator="equal">
      <formula>"Moderado"</formula>
    </cfRule>
    <cfRule type="cellIs" dxfId="2309" priority="2539" operator="equal">
      <formula>"Bajo"</formula>
    </cfRule>
  </conditionalFormatting>
  <conditionalFormatting sqref="Z61:Z66">
    <cfRule type="cellIs" dxfId="2308" priority="2531" operator="equal">
      <formula>"Muy Alta"</formula>
    </cfRule>
    <cfRule type="cellIs" dxfId="2307" priority="2532" operator="equal">
      <formula>"Alta"</formula>
    </cfRule>
    <cfRule type="cellIs" dxfId="2306" priority="2533" operator="equal">
      <formula>"Media"</formula>
    </cfRule>
    <cfRule type="cellIs" dxfId="2305" priority="2534" operator="equal">
      <formula>"Baja"</formula>
    </cfRule>
    <cfRule type="cellIs" dxfId="2304" priority="2535" operator="equal">
      <formula>"Muy Baja"</formula>
    </cfRule>
  </conditionalFormatting>
  <conditionalFormatting sqref="AB61:AB66">
    <cfRule type="cellIs" dxfId="2303" priority="2526" operator="equal">
      <formula>"Catastrófico"</formula>
    </cfRule>
    <cfRule type="cellIs" dxfId="2302" priority="2527" operator="equal">
      <formula>"Mayor"</formula>
    </cfRule>
    <cfRule type="cellIs" dxfId="2301" priority="2528" operator="equal">
      <formula>"Moderado"</formula>
    </cfRule>
    <cfRule type="cellIs" dxfId="2300" priority="2529" operator="equal">
      <formula>"Menor"</formula>
    </cfRule>
    <cfRule type="cellIs" dxfId="2299" priority="2530" operator="equal">
      <formula>"Leve"</formula>
    </cfRule>
  </conditionalFormatting>
  <conditionalFormatting sqref="AD61:AD66">
    <cfRule type="cellIs" dxfId="2298" priority="2522" operator="equal">
      <formula>"Extremo"</formula>
    </cfRule>
    <cfRule type="cellIs" dxfId="2297" priority="2523" operator="equal">
      <formula>"Alto"</formula>
    </cfRule>
    <cfRule type="cellIs" dxfId="2296" priority="2524" operator="equal">
      <formula>"Moderado"</formula>
    </cfRule>
    <cfRule type="cellIs" dxfId="2295" priority="2525" operator="equal">
      <formula>"Bajo"</formula>
    </cfRule>
  </conditionalFormatting>
  <conditionalFormatting sqref="M67">
    <cfRule type="cellIs" dxfId="2294" priority="2474" operator="equal">
      <formula>"Catastrófico"</formula>
    </cfRule>
    <cfRule type="cellIs" dxfId="2293" priority="2475" operator="equal">
      <formula>"Mayor"</formula>
    </cfRule>
    <cfRule type="cellIs" dxfId="2292" priority="2476" operator="equal">
      <formula>"Moderado"</formula>
    </cfRule>
    <cfRule type="cellIs" dxfId="2291" priority="2477" operator="equal">
      <formula>"Menor"</formula>
    </cfRule>
    <cfRule type="cellIs" dxfId="2290" priority="2478" operator="equal">
      <formula>"Leve"</formula>
    </cfRule>
  </conditionalFormatting>
  <conditionalFormatting sqref="O67">
    <cfRule type="cellIs" dxfId="2289" priority="2470" operator="equal">
      <formula>"Extremo"</formula>
    </cfRule>
    <cfRule type="cellIs" dxfId="2288" priority="2471" operator="equal">
      <formula>"Alto"</formula>
    </cfRule>
    <cfRule type="cellIs" dxfId="2287" priority="2472" operator="equal">
      <formula>"Moderado"</formula>
    </cfRule>
    <cfRule type="cellIs" dxfId="2286" priority="2473" operator="equal">
      <formula>"Bajo"</formula>
    </cfRule>
  </conditionalFormatting>
  <conditionalFormatting sqref="L67:L72">
    <cfRule type="containsText" dxfId="2285" priority="2469" operator="containsText" text="❌">
      <formula>NOT(ISERROR(SEARCH("❌",L67)))</formula>
    </cfRule>
  </conditionalFormatting>
  <conditionalFormatting sqref="I67">
    <cfRule type="cellIs" dxfId="2284" priority="2464" operator="equal">
      <formula>"Muy Alta"</formula>
    </cfRule>
    <cfRule type="cellIs" dxfId="2283" priority="2465" operator="equal">
      <formula>"Alta"</formula>
    </cfRule>
    <cfRule type="cellIs" dxfId="2282" priority="2466" operator="equal">
      <formula>"Media"</formula>
    </cfRule>
    <cfRule type="cellIs" dxfId="2281" priority="2467" operator="equal">
      <formula>"Baja"</formula>
    </cfRule>
    <cfRule type="cellIs" dxfId="2280" priority="2468" operator="equal">
      <formula>"Muy Baja"</formula>
    </cfRule>
  </conditionalFormatting>
  <conditionalFormatting sqref="Z67:Z72">
    <cfRule type="cellIs" dxfId="2279" priority="2459" operator="equal">
      <formula>"Muy Alta"</formula>
    </cfRule>
    <cfRule type="cellIs" dxfId="2278" priority="2460" operator="equal">
      <formula>"Alta"</formula>
    </cfRule>
    <cfRule type="cellIs" dxfId="2277" priority="2461" operator="equal">
      <formula>"Media"</formula>
    </cfRule>
    <cfRule type="cellIs" dxfId="2276" priority="2462" operator="equal">
      <formula>"Baja"</formula>
    </cfRule>
    <cfRule type="cellIs" dxfId="2275" priority="2463" operator="equal">
      <formula>"Muy Baja"</formula>
    </cfRule>
  </conditionalFormatting>
  <conditionalFormatting sqref="AB67:AB72">
    <cfRule type="cellIs" dxfId="2274" priority="2454" operator="equal">
      <formula>"Catastrófico"</formula>
    </cfRule>
    <cfRule type="cellIs" dxfId="2273" priority="2455" operator="equal">
      <formula>"Mayor"</formula>
    </cfRule>
    <cfRule type="cellIs" dxfId="2272" priority="2456" operator="equal">
      <formula>"Moderado"</formula>
    </cfRule>
    <cfRule type="cellIs" dxfId="2271" priority="2457" operator="equal">
      <formula>"Menor"</formula>
    </cfRule>
    <cfRule type="cellIs" dxfId="2270" priority="2458" operator="equal">
      <formula>"Leve"</formula>
    </cfRule>
  </conditionalFormatting>
  <conditionalFormatting sqref="AD67:AD72">
    <cfRule type="cellIs" dxfId="2269" priority="2450" operator="equal">
      <formula>"Extremo"</formula>
    </cfRule>
    <cfRule type="cellIs" dxfId="2268" priority="2451" operator="equal">
      <formula>"Alto"</formula>
    </cfRule>
    <cfRule type="cellIs" dxfId="2267" priority="2452" operator="equal">
      <formula>"Moderado"</formula>
    </cfRule>
    <cfRule type="cellIs" dxfId="2266" priority="2453" operator="equal">
      <formula>"Bajo"</formula>
    </cfRule>
  </conditionalFormatting>
  <conditionalFormatting sqref="M73">
    <cfRule type="cellIs" dxfId="2265" priority="2445" operator="equal">
      <formula>"Catastrófico"</formula>
    </cfRule>
    <cfRule type="cellIs" dxfId="2264" priority="2446" operator="equal">
      <formula>"Mayor"</formula>
    </cfRule>
    <cfRule type="cellIs" dxfId="2263" priority="2447" operator="equal">
      <formula>"Moderado"</formula>
    </cfRule>
    <cfRule type="cellIs" dxfId="2262" priority="2448" operator="equal">
      <formula>"Menor"</formula>
    </cfRule>
    <cfRule type="cellIs" dxfId="2261" priority="2449" operator="equal">
      <formula>"Leve"</formula>
    </cfRule>
  </conditionalFormatting>
  <conditionalFormatting sqref="O73">
    <cfRule type="cellIs" dxfId="2260" priority="2441" operator="equal">
      <formula>"Extremo"</formula>
    </cfRule>
    <cfRule type="cellIs" dxfId="2259" priority="2442" operator="equal">
      <formula>"Alto"</formula>
    </cfRule>
    <cfRule type="cellIs" dxfId="2258" priority="2443" operator="equal">
      <formula>"Moderado"</formula>
    </cfRule>
    <cfRule type="cellIs" dxfId="2257" priority="2444" operator="equal">
      <formula>"Bajo"</formula>
    </cfRule>
  </conditionalFormatting>
  <conditionalFormatting sqref="L73:L78">
    <cfRule type="containsText" dxfId="2256" priority="2440" operator="containsText" text="❌">
      <formula>NOT(ISERROR(SEARCH("❌",L73)))</formula>
    </cfRule>
  </conditionalFormatting>
  <conditionalFormatting sqref="I73">
    <cfRule type="cellIs" dxfId="2255" priority="2435" operator="equal">
      <formula>"Muy Alta"</formula>
    </cfRule>
    <cfRule type="cellIs" dxfId="2254" priority="2436" operator="equal">
      <formula>"Alta"</formula>
    </cfRule>
    <cfRule type="cellIs" dxfId="2253" priority="2437" operator="equal">
      <formula>"Media"</formula>
    </cfRule>
    <cfRule type="cellIs" dxfId="2252" priority="2438" operator="equal">
      <formula>"Baja"</formula>
    </cfRule>
    <cfRule type="cellIs" dxfId="2251" priority="2439" operator="equal">
      <formula>"Muy Baja"</formula>
    </cfRule>
  </conditionalFormatting>
  <conditionalFormatting sqref="Z73:Z78">
    <cfRule type="cellIs" dxfId="2250" priority="2430" operator="equal">
      <formula>"Muy Alta"</formula>
    </cfRule>
    <cfRule type="cellIs" dxfId="2249" priority="2431" operator="equal">
      <formula>"Alta"</formula>
    </cfRule>
    <cfRule type="cellIs" dxfId="2248" priority="2432" operator="equal">
      <formula>"Media"</formula>
    </cfRule>
    <cfRule type="cellIs" dxfId="2247" priority="2433" operator="equal">
      <formula>"Baja"</formula>
    </cfRule>
    <cfRule type="cellIs" dxfId="2246" priority="2434" operator="equal">
      <formula>"Muy Baja"</formula>
    </cfRule>
  </conditionalFormatting>
  <conditionalFormatting sqref="AB73:AB78">
    <cfRule type="cellIs" dxfId="2245" priority="2425" operator="equal">
      <formula>"Catastrófico"</formula>
    </cfRule>
    <cfRule type="cellIs" dxfId="2244" priority="2426" operator="equal">
      <formula>"Mayor"</formula>
    </cfRule>
    <cfRule type="cellIs" dxfId="2243" priority="2427" operator="equal">
      <formula>"Moderado"</formula>
    </cfRule>
    <cfRule type="cellIs" dxfId="2242" priority="2428" operator="equal">
      <formula>"Menor"</formula>
    </cfRule>
    <cfRule type="cellIs" dxfId="2241" priority="2429" operator="equal">
      <formula>"Leve"</formula>
    </cfRule>
  </conditionalFormatting>
  <conditionalFormatting sqref="AD73:AD78">
    <cfRule type="cellIs" dxfId="2240" priority="2421" operator="equal">
      <formula>"Extremo"</formula>
    </cfRule>
    <cfRule type="cellIs" dxfId="2239" priority="2422" operator="equal">
      <formula>"Alto"</formula>
    </cfRule>
    <cfRule type="cellIs" dxfId="2238" priority="2423" operator="equal">
      <formula>"Moderado"</formula>
    </cfRule>
    <cfRule type="cellIs" dxfId="2237" priority="2424" operator="equal">
      <formula>"Bajo"</formula>
    </cfRule>
  </conditionalFormatting>
  <conditionalFormatting sqref="M91 M97">
    <cfRule type="cellIs" dxfId="2236" priority="2387" operator="equal">
      <formula>"Catastrófico"</formula>
    </cfRule>
    <cfRule type="cellIs" dxfId="2235" priority="2388" operator="equal">
      <formula>"Mayor"</formula>
    </cfRule>
    <cfRule type="cellIs" dxfId="2234" priority="2389" operator="equal">
      <formula>"Moderado"</formula>
    </cfRule>
    <cfRule type="cellIs" dxfId="2233" priority="2390" operator="equal">
      <formula>"Menor"</formula>
    </cfRule>
    <cfRule type="cellIs" dxfId="2232" priority="2391" operator="equal">
      <formula>"Leve"</formula>
    </cfRule>
  </conditionalFormatting>
  <conditionalFormatting sqref="O91">
    <cfRule type="cellIs" dxfId="2231" priority="2383" operator="equal">
      <formula>"Extremo"</formula>
    </cfRule>
    <cfRule type="cellIs" dxfId="2230" priority="2384" operator="equal">
      <formula>"Alto"</formula>
    </cfRule>
    <cfRule type="cellIs" dxfId="2229" priority="2385" operator="equal">
      <formula>"Moderado"</formula>
    </cfRule>
    <cfRule type="cellIs" dxfId="2228" priority="2386" operator="equal">
      <formula>"Bajo"</formula>
    </cfRule>
  </conditionalFormatting>
  <conditionalFormatting sqref="O97">
    <cfRule type="cellIs" dxfId="2227" priority="2379" operator="equal">
      <formula>"Extremo"</formula>
    </cfRule>
    <cfRule type="cellIs" dxfId="2226" priority="2380" operator="equal">
      <formula>"Alto"</formula>
    </cfRule>
    <cfRule type="cellIs" dxfId="2225" priority="2381" operator="equal">
      <formula>"Moderado"</formula>
    </cfRule>
    <cfRule type="cellIs" dxfId="2224" priority="2382" operator="equal">
      <formula>"Bajo"</formula>
    </cfRule>
  </conditionalFormatting>
  <conditionalFormatting sqref="L91:L102">
    <cfRule type="containsText" dxfId="2223" priority="2378" operator="containsText" text="❌">
      <formula>NOT(ISERROR(SEARCH("❌",L91)))</formula>
    </cfRule>
  </conditionalFormatting>
  <conditionalFormatting sqref="Z97:Z102">
    <cfRule type="cellIs" dxfId="2222" priority="2373" operator="equal">
      <formula>"Muy Alta"</formula>
    </cfRule>
    <cfRule type="cellIs" dxfId="2221" priority="2374" operator="equal">
      <formula>"Alta"</formula>
    </cfRule>
    <cfRule type="cellIs" dxfId="2220" priority="2375" operator="equal">
      <formula>"Media"</formula>
    </cfRule>
    <cfRule type="cellIs" dxfId="2219" priority="2376" operator="equal">
      <formula>"Baja"</formula>
    </cfRule>
    <cfRule type="cellIs" dxfId="2218" priority="2377" operator="equal">
      <formula>"Muy Baja"</formula>
    </cfRule>
  </conditionalFormatting>
  <conditionalFormatting sqref="AB97:AB102">
    <cfRule type="cellIs" dxfId="2217" priority="2368" operator="equal">
      <formula>"Catastrófico"</formula>
    </cfRule>
    <cfRule type="cellIs" dxfId="2216" priority="2369" operator="equal">
      <formula>"Mayor"</formula>
    </cfRule>
    <cfRule type="cellIs" dxfId="2215" priority="2370" operator="equal">
      <formula>"Moderado"</formula>
    </cfRule>
    <cfRule type="cellIs" dxfId="2214" priority="2371" operator="equal">
      <formula>"Menor"</formula>
    </cfRule>
    <cfRule type="cellIs" dxfId="2213" priority="2372" operator="equal">
      <formula>"Leve"</formula>
    </cfRule>
  </conditionalFormatting>
  <conditionalFormatting sqref="AD97:AD102">
    <cfRule type="cellIs" dxfId="2212" priority="2364" operator="equal">
      <formula>"Extremo"</formula>
    </cfRule>
    <cfRule type="cellIs" dxfId="2211" priority="2365" operator="equal">
      <formula>"Alto"</formula>
    </cfRule>
    <cfRule type="cellIs" dxfId="2210" priority="2366" operator="equal">
      <formula>"Moderado"</formula>
    </cfRule>
    <cfRule type="cellIs" dxfId="2209" priority="2367" operator="equal">
      <formula>"Bajo"</formula>
    </cfRule>
  </conditionalFormatting>
  <conditionalFormatting sqref="I97">
    <cfRule type="cellIs" dxfId="2208" priority="2359" operator="equal">
      <formula>"Muy Alta"</formula>
    </cfRule>
    <cfRule type="cellIs" dxfId="2207" priority="2360" operator="equal">
      <formula>"Alta"</formula>
    </cfRule>
    <cfRule type="cellIs" dxfId="2206" priority="2361" operator="equal">
      <formula>"Media"</formula>
    </cfRule>
    <cfRule type="cellIs" dxfId="2205" priority="2362" operator="equal">
      <formula>"Baja"</formula>
    </cfRule>
    <cfRule type="cellIs" dxfId="2204" priority="2363" operator="equal">
      <formula>"Muy Baja"</formula>
    </cfRule>
  </conditionalFormatting>
  <conditionalFormatting sqref="I91">
    <cfRule type="cellIs" dxfId="2203" priority="2354" operator="equal">
      <formula>"Muy Alta"</formula>
    </cfRule>
    <cfRule type="cellIs" dxfId="2202" priority="2355" operator="equal">
      <formula>"Alta"</formula>
    </cfRule>
    <cfRule type="cellIs" dxfId="2201" priority="2356" operator="equal">
      <formula>"Media"</formula>
    </cfRule>
    <cfRule type="cellIs" dxfId="2200" priority="2357" operator="equal">
      <formula>"Baja"</formula>
    </cfRule>
    <cfRule type="cellIs" dxfId="2199" priority="2358" operator="equal">
      <formula>"Muy Baja"</formula>
    </cfRule>
  </conditionalFormatting>
  <conditionalFormatting sqref="Z91:Z96">
    <cfRule type="cellIs" dxfId="2198" priority="2349" operator="equal">
      <formula>"Muy Alta"</formula>
    </cfRule>
    <cfRule type="cellIs" dxfId="2197" priority="2350" operator="equal">
      <formula>"Alta"</formula>
    </cfRule>
    <cfRule type="cellIs" dxfId="2196" priority="2351" operator="equal">
      <formula>"Media"</formula>
    </cfRule>
    <cfRule type="cellIs" dxfId="2195" priority="2352" operator="equal">
      <formula>"Baja"</formula>
    </cfRule>
    <cfRule type="cellIs" dxfId="2194" priority="2353" operator="equal">
      <formula>"Muy Baja"</formula>
    </cfRule>
  </conditionalFormatting>
  <conditionalFormatting sqref="AB91:AB96">
    <cfRule type="cellIs" dxfId="2193" priority="2344" operator="equal">
      <formula>"Catastrófico"</formula>
    </cfRule>
    <cfRule type="cellIs" dxfId="2192" priority="2345" operator="equal">
      <formula>"Mayor"</formula>
    </cfRule>
    <cfRule type="cellIs" dxfId="2191" priority="2346" operator="equal">
      <formula>"Moderado"</formula>
    </cfRule>
    <cfRule type="cellIs" dxfId="2190" priority="2347" operator="equal">
      <formula>"Menor"</formula>
    </cfRule>
    <cfRule type="cellIs" dxfId="2189" priority="2348" operator="equal">
      <formula>"Leve"</formula>
    </cfRule>
  </conditionalFormatting>
  <conditionalFormatting sqref="AD91:AD96">
    <cfRule type="cellIs" dxfId="2188" priority="2340" operator="equal">
      <formula>"Extremo"</formula>
    </cfRule>
    <cfRule type="cellIs" dxfId="2187" priority="2341" operator="equal">
      <formula>"Alto"</formula>
    </cfRule>
    <cfRule type="cellIs" dxfId="2186" priority="2342" operator="equal">
      <formula>"Moderado"</formula>
    </cfRule>
    <cfRule type="cellIs" dxfId="2185" priority="2343" operator="equal">
      <formula>"Bajo"</formula>
    </cfRule>
  </conditionalFormatting>
  <conditionalFormatting sqref="I103">
    <cfRule type="cellIs" dxfId="2184" priority="2335" operator="equal">
      <formula>"Muy Alta"</formula>
    </cfRule>
    <cfRule type="cellIs" dxfId="2183" priority="2336" operator="equal">
      <formula>"Alta"</formula>
    </cfRule>
    <cfRule type="cellIs" dxfId="2182" priority="2337" operator="equal">
      <formula>"Media"</formula>
    </cfRule>
    <cfRule type="cellIs" dxfId="2181" priority="2338" operator="equal">
      <formula>"Baja"</formula>
    </cfRule>
    <cfRule type="cellIs" dxfId="2180" priority="2339" operator="equal">
      <formula>"Muy Baja"</formula>
    </cfRule>
  </conditionalFormatting>
  <conditionalFormatting sqref="M103">
    <cfRule type="cellIs" dxfId="2179" priority="2330" operator="equal">
      <formula>"Catastrófico"</formula>
    </cfRule>
    <cfRule type="cellIs" dxfId="2178" priority="2331" operator="equal">
      <formula>"Mayor"</formula>
    </cfRule>
    <cfRule type="cellIs" dxfId="2177" priority="2332" operator="equal">
      <formula>"Moderado"</formula>
    </cfRule>
    <cfRule type="cellIs" dxfId="2176" priority="2333" operator="equal">
      <formula>"Menor"</formula>
    </cfRule>
    <cfRule type="cellIs" dxfId="2175" priority="2334" operator="equal">
      <formula>"Leve"</formula>
    </cfRule>
  </conditionalFormatting>
  <conditionalFormatting sqref="O103">
    <cfRule type="cellIs" dxfId="2174" priority="2326" operator="equal">
      <formula>"Extremo"</formula>
    </cfRule>
    <cfRule type="cellIs" dxfId="2173" priority="2327" operator="equal">
      <formula>"Alto"</formula>
    </cfRule>
    <cfRule type="cellIs" dxfId="2172" priority="2328" operator="equal">
      <formula>"Moderado"</formula>
    </cfRule>
    <cfRule type="cellIs" dxfId="2171" priority="2329" operator="equal">
      <formula>"Bajo"</formula>
    </cfRule>
  </conditionalFormatting>
  <conditionalFormatting sqref="Z103:Z108">
    <cfRule type="cellIs" dxfId="2170" priority="2321" operator="equal">
      <formula>"Muy Alta"</formula>
    </cfRule>
    <cfRule type="cellIs" dxfId="2169" priority="2322" operator="equal">
      <formula>"Alta"</formula>
    </cfRule>
    <cfRule type="cellIs" dxfId="2168" priority="2323" operator="equal">
      <formula>"Media"</formula>
    </cfRule>
    <cfRule type="cellIs" dxfId="2167" priority="2324" operator="equal">
      <formula>"Baja"</formula>
    </cfRule>
    <cfRule type="cellIs" dxfId="2166" priority="2325" operator="equal">
      <formula>"Muy Baja"</formula>
    </cfRule>
  </conditionalFormatting>
  <conditionalFormatting sqref="AB103:AB108">
    <cfRule type="cellIs" dxfId="2165" priority="2316" operator="equal">
      <formula>"Catastrófico"</formula>
    </cfRule>
    <cfRule type="cellIs" dxfId="2164" priority="2317" operator="equal">
      <formula>"Mayor"</formula>
    </cfRule>
    <cfRule type="cellIs" dxfId="2163" priority="2318" operator="equal">
      <formula>"Moderado"</formula>
    </cfRule>
    <cfRule type="cellIs" dxfId="2162" priority="2319" operator="equal">
      <formula>"Menor"</formula>
    </cfRule>
    <cfRule type="cellIs" dxfId="2161" priority="2320" operator="equal">
      <formula>"Leve"</formula>
    </cfRule>
  </conditionalFormatting>
  <conditionalFormatting sqref="AD103:AD108">
    <cfRule type="cellIs" dxfId="2160" priority="2312" operator="equal">
      <formula>"Extremo"</formula>
    </cfRule>
    <cfRule type="cellIs" dxfId="2159" priority="2313" operator="equal">
      <formula>"Alto"</formula>
    </cfRule>
    <cfRule type="cellIs" dxfId="2158" priority="2314" operator="equal">
      <formula>"Moderado"</formula>
    </cfRule>
    <cfRule type="cellIs" dxfId="2157" priority="2315" operator="equal">
      <formula>"Bajo"</formula>
    </cfRule>
  </conditionalFormatting>
  <conditionalFormatting sqref="L103:L108">
    <cfRule type="containsText" dxfId="2156" priority="2311" operator="containsText" text="❌">
      <formula>NOT(ISERROR(SEARCH("❌",L103)))</formula>
    </cfRule>
  </conditionalFormatting>
  <conditionalFormatting sqref="M109">
    <cfRule type="cellIs" dxfId="2155" priority="2282" operator="equal">
      <formula>"Catastrófico"</formula>
    </cfRule>
  </conditionalFormatting>
  <conditionalFormatting sqref="M109">
    <cfRule type="cellIs" dxfId="2154" priority="2283" operator="equal">
      <formula>"Mayor"</formula>
    </cfRule>
  </conditionalFormatting>
  <conditionalFormatting sqref="M109">
    <cfRule type="cellIs" dxfId="2153" priority="2284" operator="equal">
      <formula>"Moderado"</formula>
    </cfRule>
  </conditionalFormatting>
  <conditionalFormatting sqref="M109">
    <cfRule type="cellIs" dxfId="2152" priority="2285" operator="equal">
      <formula>"Menor"</formula>
    </cfRule>
  </conditionalFormatting>
  <conditionalFormatting sqref="M109">
    <cfRule type="cellIs" dxfId="2151" priority="2286" operator="equal">
      <formula>"Leve"</formula>
    </cfRule>
  </conditionalFormatting>
  <conditionalFormatting sqref="O109">
    <cfRule type="cellIs" dxfId="2150" priority="2287" operator="equal">
      <formula>"Extremo"</formula>
    </cfRule>
  </conditionalFormatting>
  <conditionalFormatting sqref="O109">
    <cfRule type="cellIs" dxfId="2149" priority="2288" operator="equal">
      <formula>"Alto"</formula>
    </cfRule>
  </conditionalFormatting>
  <conditionalFormatting sqref="O109">
    <cfRule type="cellIs" dxfId="2148" priority="2289" operator="equal">
      <formula>"Moderado"</formula>
    </cfRule>
  </conditionalFormatting>
  <conditionalFormatting sqref="O109">
    <cfRule type="cellIs" dxfId="2147" priority="2290" operator="equal">
      <formula>"Bajo"</formula>
    </cfRule>
  </conditionalFormatting>
  <conditionalFormatting sqref="L109:L114">
    <cfRule type="containsText" dxfId="2146" priority="2291" operator="containsText" text="❌">
      <formula>NOT(ISERROR(SEARCH(("❌"),(L109))))</formula>
    </cfRule>
  </conditionalFormatting>
  <conditionalFormatting sqref="I109">
    <cfRule type="cellIs" dxfId="2145" priority="2292" operator="equal">
      <formula>"Muy Alta"</formula>
    </cfRule>
  </conditionalFormatting>
  <conditionalFormatting sqref="I109">
    <cfRule type="cellIs" dxfId="2144" priority="2293" operator="equal">
      <formula>"Alta"</formula>
    </cfRule>
  </conditionalFormatting>
  <conditionalFormatting sqref="I109">
    <cfRule type="cellIs" dxfId="2143" priority="2294" operator="equal">
      <formula>"Media"</formula>
    </cfRule>
  </conditionalFormatting>
  <conditionalFormatting sqref="I109">
    <cfRule type="cellIs" dxfId="2142" priority="2295" operator="equal">
      <formula>"Baja"</formula>
    </cfRule>
  </conditionalFormatting>
  <conditionalFormatting sqref="I109">
    <cfRule type="cellIs" dxfId="2141" priority="2296" operator="equal">
      <formula>"Muy Baja"</formula>
    </cfRule>
  </conditionalFormatting>
  <conditionalFormatting sqref="Z109:Z114">
    <cfRule type="cellIs" dxfId="2140" priority="2297" operator="equal">
      <formula>"Muy Alta"</formula>
    </cfRule>
  </conditionalFormatting>
  <conditionalFormatting sqref="Z109:Z114">
    <cfRule type="cellIs" dxfId="2139" priority="2298" operator="equal">
      <formula>"Alta"</formula>
    </cfRule>
  </conditionalFormatting>
  <conditionalFormatting sqref="Z109:Z114">
    <cfRule type="cellIs" dxfId="2138" priority="2299" operator="equal">
      <formula>"Media"</formula>
    </cfRule>
  </conditionalFormatting>
  <conditionalFormatting sqref="Z109:Z114">
    <cfRule type="cellIs" dxfId="2137" priority="2300" operator="equal">
      <formula>"Baja"</formula>
    </cfRule>
  </conditionalFormatting>
  <conditionalFormatting sqref="Z109:Z114">
    <cfRule type="cellIs" dxfId="2136" priority="2301" operator="equal">
      <formula>"Muy Baja"</formula>
    </cfRule>
  </conditionalFormatting>
  <conditionalFormatting sqref="AB109:AB114">
    <cfRule type="cellIs" dxfId="2135" priority="2302" operator="equal">
      <formula>"Catastrófico"</formula>
    </cfRule>
  </conditionalFormatting>
  <conditionalFormatting sqref="AB109:AB114">
    <cfRule type="cellIs" dxfId="2134" priority="2303" operator="equal">
      <formula>"Mayor"</formula>
    </cfRule>
  </conditionalFormatting>
  <conditionalFormatting sqref="AB109:AB114">
    <cfRule type="cellIs" dxfId="2133" priority="2304" operator="equal">
      <formula>"Moderado"</formula>
    </cfRule>
  </conditionalFormatting>
  <conditionalFormatting sqref="AB109:AB114">
    <cfRule type="cellIs" dxfId="2132" priority="2305" operator="equal">
      <formula>"Menor"</formula>
    </cfRule>
  </conditionalFormatting>
  <conditionalFormatting sqref="AB109:AB114">
    <cfRule type="cellIs" dxfId="2131" priority="2306" operator="equal">
      <formula>"Leve"</formula>
    </cfRule>
  </conditionalFormatting>
  <conditionalFormatting sqref="AD109:AD114">
    <cfRule type="cellIs" dxfId="2130" priority="2307" operator="equal">
      <formula>"Extremo"</formula>
    </cfRule>
  </conditionalFormatting>
  <conditionalFormatting sqref="AD109:AD114">
    <cfRule type="cellIs" dxfId="2129" priority="2308" operator="equal">
      <formula>"Alto"</formula>
    </cfRule>
  </conditionalFormatting>
  <conditionalFormatting sqref="AD109:AD114">
    <cfRule type="cellIs" dxfId="2128" priority="2309" operator="equal">
      <formula>"Moderado"</formula>
    </cfRule>
  </conditionalFormatting>
  <conditionalFormatting sqref="AD109:AD114">
    <cfRule type="cellIs" dxfId="2127" priority="2310" operator="equal">
      <formula>"Bajo"</formula>
    </cfRule>
  </conditionalFormatting>
  <conditionalFormatting sqref="M115 M121 M127">
    <cfRule type="cellIs" dxfId="2126" priority="2277" operator="equal">
      <formula>"Catastrófico"</formula>
    </cfRule>
    <cfRule type="cellIs" dxfId="2125" priority="2278" operator="equal">
      <formula>"Mayor"</formula>
    </cfRule>
    <cfRule type="cellIs" dxfId="2124" priority="2279" operator="equal">
      <formula>"Moderado"</formula>
    </cfRule>
    <cfRule type="cellIs" dxfId="2123" priority="2280" operator="equal">
      <formula>"Menor"</formula>
    </cfRule>
    <cfRule type="cellIs" dxfId="2122" priority="2281" operator="equal">
      <formula>"Leve"</formula>
    </cfRule>
  </conditionalFormatting>
  <conditionalFormatting sqref="O115">
    <cfRule type="cellIs" dxfId="2121" priority="2273" operator="equal">
      <formula>"Extremo"</formula>
    </cfRule>
    <cfRule type="cellIs" dxfId="2120" priority="2274" operator="equal">
      <formula>"Alto"</formula>
    </cfRule>
    <cfRule type="cellIs" dxfId="2119" priority="2275" operator="equal">
      <formula>"Moderado"</formula>
    </cfRule>
    <cfRule type="cellIs" dxfId="2118" priority="2276" operator="equal">
      <formula>"Bajo"</formula>
    </cfRule>
  </conditionalFormatting>
  <conditionalFormatting sqref="O121">
    <cfRule type="cellIs" dxfId="2117" priority="2269" operator="equal">
      <formula>"Extremo"</formula>
    </cfRule>
    <cfRule type="cellIs" dxfId="2116" priority="2270" operator="equal">
      <formula>"Alto"</formula>
    </cfRule>
    <cfRule type="cellIs" dxfId="2115" priority="2271" operator="equal">
      <formula>"Moderado"</formula>
    </cfRule>
    <cfRule type="cellIs" dxfId="2114" priority="2272" operator="equal">
      <formula>"Bajo"</formula>
    </cfRule>
  </conditionalFormatting>
  <conditionalFormatting sqref="O127">
    <cfRule type="cellIs" dxfId="2113" priority="2265" operator="equal">
      <formula>"Extremo"</formula>
    </cfRule>
    <cfRule type="cellIs" dxfId="2112" priority="2266" operator="equal">
      <formula>"Alto"</formula>
    </cfRule>
    <cfRule type="cellIs" dxfId="2111" priority="2267" operator="equal">
      <formula>"Moderado"</formula>
    </cfRule>
    <cfRule type="cellIs" dxfId="2110" priority="2268" operator="equal">
      <formula>"Bajo"</formula>
    </cfRule>
  </conditionalFormatting>
  <conditionalFormatting sqref="L115:L132">
    <cfRule type="containsText" dxfId="2109" priority="2264" operator="containsText" text="❌">
      <formula>NOT(ISERROR(SEARCH("❌",L115)))</formula>
    </cfRule>
  </conditionalFormatting>
  <conditionalFormatting sqref="Z121:Z126">
    <cfRule type="cellIs" dxfId="2108" priority="2259" operator="equal">
      <formula>"Muy Alta"</formula>
    </cfRule>
    <cfRule type="cellIs" dxfId="2107" priority="2260" operator="equal">
      <formula>"Alta"</formula>
    </cfRule>
    <cfRule type="cellIs" dxfId="2106" priority="2261" operator="equal">
      <formula>"Media"</formula>
    </cfRule>
    <cfRule type="cellIs" dxfId="2105" priority="2262" operator="equal">
      <formula>"Baja"</formula>
    </cfRule>
    <cfRule type="cellIs" dxfId="2104" priority="2263" operator="equal">
      <formula>"Muy Baja"</formula>
    </cfRule>
  </conditionalFormatting>
  <conditionalFormatting sqref="AB121:AB126">
    <cfRule type="cellIs" dxfId="2103" priority="2254" operator="equal">
      <formula>"Catastrófico"</formula>
    </cfRule>
    <cfRule type="cellIs" dxfId="2102" priority="2255" operator="equal">
      <formula>"Mayor"</formula>
    </cfRule>
    <cfRule type="cellIs" dxfId="2101" priority="2256" operator="equal">
      <formula>"Moderado"</formula>
    </cfRule>
    <cfRule type="cellIs" dxfId="2100" priority="2257" operator="equal">
      <formula>"Menor"</formula>
    </cfRule>
    <cfRule type="cellIs" dxfId="2099" priority="2258" operator="equal">
      <formula>"Leve"</formula>
    </cfRule>
  </conditionalFormatting>
  <conditionalFormatting sqref="AD121:AD126">
    <cfRule type="cellIs" dxfId="2098" priority="2250" operator="equal">
      <formula>"Extremo"</formula>
    </cfRule>
    <cfRule type="cellIs" dxfId="2097" priority="2251" operator="equal">
      <formula>"Alto"</formula>
    </cfRule>
    <cfRule type="cellIs" dxfId="2096" priority="2252" operator="equal">
      <formula>"Moderado"</formula>
    </cfRule>
    <cfRule type="cellIs" dxfId="2095" priority="2253" operator="equal">
      <formula>"Bajo"</formula>
    </cfRule>
  </conditionalFormatting>
  <conditionalFormatting sqref="I121">
    <cfRule type="cellIs" dxfId="2094" priority="2245" operator="equal">
      <formula>"Muy Alta"</formula>
    </cfRule>
    <cfRule type="cellIs" dxfId="2093" priority="2246" operator="equal">
      <formula>"Alta"</formula>
    </cfRule>
    <cfRule type="cellIs" dxfId="2092" priority="2247" operator="equal">
      <formula>"Media"</formula>
    </cfRule>
    <cfRule type="cellIs" dxfId="2091" priority="2248" operator="equal">
      <formula>"Baja"</formula>
    </cfRule>
    <cfRule type="cellIs" dxfId="2090" priority="2249" operator="equal">
      <formula>"Muy Baja"</formula>
    </cfRule>
  </conditionalFormatting>
  <conditionalFormatting sqref="I127">
    <cfRule type="cellIs" dxfId="2089" priority="2240" operator="equal">
      <formula>"Muy Alta"</formula>
    </cfRule>
    <cfRule type="cellIs" dxfId="2088" priority="2241" operator="equal">
      <formula>"Alta"</formula>
    </cfRule>
    <cfRule type="cellIs" dxfId="2087" priority="2242" operator="equal">
      <formula>"Media"</formula>
    </cfRule>
    <cfRule type="cellIs" dxfId="2086" priority="2243" operator="equal">
      <formula>"Baja"</formula>
    </cfRule>
    <cfRule type="cellIs" dxfId="2085" priority="2244" operator="equal">
      <formula>"Muy Baja"</formula>
    </cfRule>
  </conditionalFormatting>
  <conditionalFormatting sqref="I115">
    <cfRule type="cellIs" dxfId="2084" priority="2235" operator="equal">
      <formula>"Muy Alta"</formula>
    </cfRule>
    <cfRule type="cellIs" dxfId="2083" priority="2236" operator="equal">
      <formula>"Alta"</formula>
    </cfRule>
    <cfRule type="cellIs" dxfId="2082" priority="2237" operator="equal">
      <formula>"Media"</formula>
    </cfRule>
    <cfRule type="cellIs" dxfId="2081" priority="2238" operator="equal">
      <formula>"Baja"</formula>
    </cfRule>
    <cfRule type="cellIs" dxfId="2080" priority="2239" operator="equal">
      <formula>"Muy Baja"</formula>
    </cfRule>
  </conditionalFormatting>
  <conditionalFormatting sqref="Z115:Z120">
    <cfRule type="cellIs" dxfId="2079" priority="2230" operator="equal">
      <formula>"Muy Alta"</formula>
    </cfRule>
    <cfRule type="cellIs" dxfId="2078" priority="2231" operator="equal">
      <formula>"Alta"</formula>
    </cfRule>
    <cfRule type="cellIs" dxfId="2077" priority="2232" operator="equal">
      <formula>"Media"</formula>
    </cfRule>
    <cfRule type="cellIs" dxfId="2076" priority="2233" operator="equal">
      <formula>"Baja"</formula>
    </cfRule>
    <cfRule type="cellIs" dxfId="2075" priority="2234" operator="equal">
      <formula>"Muy Baja"</formula>
    </cfRule>
  </conditionalFormatting>
  <conditionalFormatting sqref="AB115:AB120">
    <cfRule type="cellIs" dxfId="2074" priority="2225" operator="equal">
      <formula>"Catastrófico"</formula>
    </cfRule>
    <cfRule type="cellIs" dxfId="2073" priority="2226" operator="equal">
      <formula>"Mayor"</formula>
    </cfRule>
    <cfRule type="cellIs" dxfId="2072" priority="2227" operator="equal">
      <formula>"Moderado"</formula>
    </cfRule>
    <cfRule type="cellIs" dxfId="2071" priority="2228" operator="equal">
      <formula>"Menor"</formula>
    </cfRule>
    <cfRule type="cellIs" dxfId="2070" priority="2229" operator="equal">
      <formula>"Leve"</formula>
    </cfRule>
  </conditionalFormatting>
  <conditionalFormatting sqref="AD115:AD120">
    <cfRule type="cellIs" dxfId="2069" priority="2221" operator="equal">
      <formula>"Extremo"</formula>
    </cfRule>
    <cfRule type="cellIs" dxfId="2068" priority="2222" operator="equal">
      <formula>"Alto"</formula>
    </cfRule>
    <cfRule type="cellIs" dxfId="2067" priority="2223" operator="equal">
      <formula>"Moderado"</formula>
    </cfRule>
    <cfRule type="cellIs" dxfId="2066" priority="2224" operator="equal">
      <formula>"Bajo"</formula>
    </cfRule>
  </conditionalFormatting>
  <conditionalFormatting sqref="Z127:Z132">
    <cfRule type="cellIs" dxfId="2065" priority="2216" operator="equal">
      <formula>"Muy Alta"</formula>
    </cfRule>
    <cfRule type="cellIs" dxfId="2064" priority="2217" operator="equal">
      <formula>"Alta"</formula>
    </cfRule>
    <cfRule type="cellIs" dxfId="2063" priority="2218" operator="equal">
      <formula>"Media"</formula>
    </cfRule>
    <cfRule type="cellIs" dxfId="2062" priority="2219" operator="equal">
      <formula>"Baja"</formula>
    </cfRule>
    <cfRule type="cellIs" dxfId="2061" priority="2220" operator="equal">
      <formula>"Muy Baja"</formula>
    </cfRule>
  </conditionalFormatting>
  <conditionalFormatting sqref="AB127:AB132">
    <cfRule type="cellIs" dxfId="2060" priority="2211" operator="equal">
      <formula>"Catastrófico"</formula>
    </cfRule>
    <cfRule type="cellIs" dxfId="2059" priority="2212" operator="equal">
      <formula>"Mayor"</formula>
    </cfRule>
    <cfRule type="cellIs" dxfId="2058" priority="2213" operator="equal">
      <formula>"Moderado"</formula>
    </cfRule>
    <cfRule type="cellIs" dxfId="2057" priority="2214" operator="equal">
      <formula>"Menor"</formula>
    </cfRule>
    <cfRule type="cellIs" dxfId="2056" priority="2215" operator="equal">
      <formula>"Leve"</formula>
    </cfRule>
  </conditionalFormatting>
  <conditionalFormatting sqref="AD127:AD132">
    <cfRule type="cellIs" dxfId="2055" priority="2207" operator="equal">
      <formula>"Extremo"</formula>
    </cfRule>
    <cfRule type="cellIs" dxfId="2054" priority="2208" operator="equal">
      <formula>"Alto"</formula>
    </cfRule>
    <cfRule type="cellIs" dxfId="2053" priority="2209" operator="equal">
      <formula>"Moderado"</formula>
    </cfRule>
    <cfRule type="cellIs" dxfId="2052" priority="2210" operator="equal">
      <formula>"Bajo"</formula>
    </cfRule>
  </conditionalFormatting>
  <conditionalFormatting sqref="M133 M139 M145">
    <cfRule type="cellIs" dxfId="2051" priority="2202" operator="equal">
      <formula>"Catastrófico"</formula>
    </cfRule>
    <cfRule type="cellIs" dxfId="2050" priority="2203" operator="equal">
      <formula>"Mayor"</formula>
    </cfRule>
    <cfRule type="cellIs" dxfId="2049" priority="2204" operator="equal">
      <formula>"Moderado"</formula>
    </cfRule>
    <cfRule type="cellIs" dxfId="2048" priority="2205" operator="equal">
      <formula>"Menor"</formula>
    </cfRule>
    <cfRule type="cellIs" dxfId="2047" priority="2206" operator="equal">
      <formula>"Leve"</formula>
    </cfRule>
  </conditionalFormatting>
  <conditionalFormatting sqref="O133">
    <cfRule type="cellIs" dxfId="2046" priority="2198" operator="equal">
      <formula>"Extremo"</formula>
    </cfRule>
    <cfRule type="cellIs" dxfId="2045" priority="2199" operator="equal">
      <formula>"Alto"</formula>
    </cfRule>
    <cfRule type="cellIs" dxfId="2044" priority="2200" operator="equal">
      <formula>"Moderado"</formula>
    </cfRule>
    <cfRule type="cellIs" dxfId="2043" priority="2201" operator="equal">
      <formula>"Bajo"</formula>
    </cfRule>
  </conditionalFormatting>
  <conditionalFormatting sqref="O139">
    <cfRule type="cellIs" dxfId="2042" priority="2194" operator="equal">
      <formula>"Extremo"</formula>
    </cfRule>
    <cfRule type="cellIs" dxfId="2041" priority="2195" operator="equal">
      <formula>"Alto"</formula>
    </cfRule>
    <cfRule type="cellIs" dxfId="2040" priority="2196" operator="equal">
      <formula>"Moderado"</formula>
    </cfRule>
    <cfRule type="cellIs" dxfId="2039" priority="2197" operator="equal">
      <formula>"Bajo"</formula>
    </cfRule>
  </conditionalFormatting>
  <conditionalFormatting sqref="O145">
    <cfRule type="cellIs" dxfId="2038" priority="2190" operator="equal">
      <formula>"Extremo"</formula>
    </cfRule>
    <cfRule type="cellIs" dxfId="2037" priority="2191" operator="equal">
      <formula>"Alto"</formula>
    </cfRule>
    <cfRule type="cellIs" dxfId="2036" priority="2192" operator="equal">
      <formula>"Moderado"</formula>
    </cfRule>
    <cfRule type="cellIs" dxfId="2035" priority="2193" operator="equal">
      <formula>"Bajo"</formula>
    </cfRule>
  </conditionalFormatting>
  <conditionalFormatting sqref="L133:L150">
    <cfRule type="containsText" dxfId="2034" priority="2189" operator="containsText" text="❌">
      <formula>NOT(ISERROR(SEARCH("❌",L133)))</formula>
    </cfRule>
  </conditionalFormatting>
  <conditionalFormatting sqref="Z139:Z144">
    <cfRule type="cellIs" dxfId="2033" priority="2184" operator="equal">
      <formula>"Muy Alta"</formula>
    </cfRule>
    <cfRule type="cellIs" dxfId="2032" priority="2185" operator="equal">
      <formula>"Alta"</formula>
    </cfRule>
    <cfRule type="cellIs" dxfId="2031" priority="2186" operator="equal">
      <formula>"Media"</formula>
    </cfRule>
    <cfRule type="cellIs" dxfId="2030" priority="2187" operator="equal">
      <formula>"Baja"</formula>
    </cfRule>
    <cfRule type="cellIs" dxfId="2029" priority="2188" operator="equal">
      <formula>"Muy Baja"</formula>
    </cfRule>
  </conditionalFormatting>
  <conditionalFormatting sqref="AB139:AB144">
    <cfRule type="cellIs" dxfId="2028" priority="2179" operator="equal">
      <formula>"Catastrófico"</formula>
    </cfRule>
    <cfRule type="cellIs" dxfId="2027" priority="2180" operator="equal">
      <formula>"Mayor"</formula>
    </cfRule>
    <cfRule type="cellIs" dxfId="2026" priority="2181" operator="equal">
      <formula>"Moderado"</formula>
    </cfRule>
    <cfRule type="cellIs" dxfId="2025" priority="2182" operator="equal">
      <formula>"Menor"</formula>
    </cfRule>
    <cfRule type="cellIs" dxfId="2024" priority="2183" operator="equal">
      <formula>"Leve"</formula>
    </cfRule>
  </conditionalFormatting>
  <conditionalFormatting sqref="AD139:AD144">
    <cfRule type="cellIs" dxfId="2023" priority="2175" operator="equal">
      <formula>"Extremo"</formula>
    </cfRule>
    <cfRule type="cellIs" dxfId="2022" priority="2176" operator="equal">
      <formula>"Alto"</formula>
    </cfRule>
    <cfRule type="cellIs" dxfId="2021" priority="2177" operator="equal">
      <formula>"Moderado"</formula>
    </cfRule>
    <cfRule type="cellIs" dxfId="2020" priority="2178" operator="equal">
      <formula>"Bajo"</formula>
    </cfRule>
  </conditionalFormatting>
  <conditionalFormatting sqref="I139">
    <cfRule type="cellIs" dxfId="2019" priority="2170" operator="equal">
      <formula>"Muy Alta"</formula>
    </cfRule>
    <cfRule type="cellIs" dxfId="2018" priority="2171" operator="equal">
      <formula>"Alta"</formula>
    </cfRule>
    <cfRule type="cellIs" dxfId="2017" priority="2172" operator="equal">
      <formula>"Media"</formula>
    </cfRule>
    <cfRule type="cellIs" dxfId="2016" priority="2173" operator="equal">
      <formula>"Baja"</formula>
    </cfRule>
    <cfRule type="cellIs" dxfId="2015" priority="2174" operator="equal">
      <formula>"Muy Baja"</formula>
    </cfRule>
  </conditionalFormatting>
  <conditionalFormatting sqref="I145">
    <cfRule type="cellIs" dxfId="2014" priority="2165" operator="equal">
      <formula>"Muy Alta"</formula>
    </cfRule>
    <cfRule type="cellIs" dxfId="2013" priority="2166" operator="equal">
      <formula>"Alta"</formula>
    </cfRule>
    <cfRule type="cellIs" dxfId="2012" priority="2167" operator="equal">
      <formula>"Media"</formula>
    </cfRule>
    <cfRule type="cellIs" dxfId="2011" priority="2168" operator="equal">
      <formula>"Baja"</formula>
    </cfRule>
    <cfRule type="cellIs" dxfId="2010" priority="2169" operator="equal">
      <formula>"Muy Baja"</formula>
    </cfRule>
  </conditionalFormatting>
  <conditionalFormatting sqref="I133">
    <cfRule type="cellIs" dxfId="2009" priority="2160" operator="equal">
      <formula>"Muy Alta"</formula>
    </cfRule>
    <cfRule type="cellIs" dxfId="2008" priority="2161" operator="equal">
      <formula>"Alta"</formula>
    </cfRule>
    <cfRule type="cellIs" dxfId="2007" priority="2162" operator="equal">
      <formula>"Media"</formula>
    </cfRule>
    <cfRule type="cellIs" dxfId="2006" priority="2163" operator="equal">
      <formula>"Baja"</formula>
    </cfRule>
    <cfRule type="cellIs" dxfId="2005" priority="2164" operator="equal">
      <formula>"Muy Baja"</formula>
    </cfRule>
  </conditionalFormatting>
  <conditionalFormatting sqref="Z133:Z138">
    <cfRule type="cellIs" dxfId="2004" priority="2155" operator="equal">
      <formula>"Muy Alta"</formula>
    </cfRule>
    <cfRule type="cellIs" dxfId="2003" priority="2156" operator="equal">
      <formula>"Alta"</formula>
    </cfRule>
    <cfRule type="cellIs" dxfId="2002" priority="2157" operator="equal">
      <formula>"Media"</formula>
    </cfRule>
    <cfRule type="cellIs" dxfId="2001" priority="2158" operator="equal">
      <formula>"Baja"</formula>
    </cfRule>
    <cfRule type="cellIs" dxfId="2000" priority="2159" operator="equal">
      <formula>"Muy Baja"</formula>
    </cfRule>
  </conditionalFormatting>
  <conditionalFormatting sqref="AB133:AB138">
    <cfRule type="cellIs" dxfId="1999" priority="2150" operator="equal">
      <formula>"Catastrófico"</formula>
    </cfRule>
    <cfRule type="cellIs" dxfId="1998" priority="2151" operator="equal">
      <formula>"Mayor"</formula>
    </cfRule>
    <cfRule type="cellIs" dxfId="1997" priority="2152" operator="equal">
      <formula>"Moderado"</formula>
    </cfRule>
    <cfRule type="cellIs" dxfId="1996" priority="2153" operator="equal">
      <formula>"Menor"</formula>
    </cfRule>
    <cfRule type="cellIs" dxfId="1995" priority="2154" operator="equal">
      <formula>"Leve"</formula>
    </cfRule>
  </conditionalFormatting>
  <conditionalFormatting sqref="AD133:AD138">
    <cfRule type="cellIs" dxfId="1994" priority="2146" operator="equal">
      <formula>"Extremo"</formula>
    </cfRule>
    <cfRule type="cellIs" dxfId="1993" priority="2147" operator="equal">
      <formula>"Alto"</formula>
    </cfRule>
    <cfRule type="cellIs" dxfId="1992" priority="2148" operator="equal">
      <formula>"Moderado"</formula>
    </cfRule>
    <cfRule type="cellIs" dxfId="1991" priority="2149" operator="equal">
      <formula>"Bajo"</formula>
    </cfRule>
  </conditionalFormatting>
  <conditionalFormatting sqref="Z145:Z150">
    <cfRule type="cellIs" dxfId="1990" priority="2141" operator="equal">
      <formula>"Muy Alta"</formula>
    </cfRule>
    <cfRule type="cellIs" dxfId="1989" priority="2142" operator="equal">
      <formula>"Alta"</formula>
    </cfRule>
    <cfRule type="cellIs" dxfId="1988" priority="2143" operator="equal">
      <formula>"Media"</formula>
    </cfRule>
    <cfRule type="cellIs" dxfId="1987" priority="2144" operator="equal">
      <formula>"Baja"</formula>
    </cfRule>
    <cfRule type="cellIs" dxfId="1986" priority="2145" operator="equal">
      <formula>"Muy Baja"</formula>
    </cfRule>
  </conditionalFormatting>
  <conditionalFormatting sqref="AB145:AB150">
    <cfRule type="cellIs" dxfId="1985" priority="2136" operator="equal">
      <formula>"Catastrófico"</formula>
    </cfRule>
    <cfRule type="cellIs" dxfId="1984" priority="2137" operator="equal">
      <formula>"Mayor"</formula>
    </cfRule>
    <cfRule type="cellIs" dxfId="1983" priority="2138" operator="equal">
      <formula>"Moderado"</formula>
    </cfRule>
    <cfRule type="cellIs" dxfId="1982" priority="2139" operator="equal">
      <formula>"Menor"</formula>
    </cfRule>
    <cfRule type="cellIs" dxfId="1981" priority="2140" operator="equal">
      <formula>"Leve"</formula>
    </cfRule>
  </conditionalFormatting>
  <conditionalFormatting sqref="AD145:AD150">
    <cfRule type="cellIs" dxfId="1980" priority="2132" operator="equal">
      <formula>"Extremo"</formula>
    </cfRule>
    <cfRule type="cellIs" dxfId="1979" priority="2133" operator="equal">
      <formula>"Alto"</formula>
    </cfRule>
    <cfRule type="cellIs" dxfId="1978" priority="2134" operator="equal">
      <formula>"Moderado"</formula>
    </cfRule>
    <cfRule type="cellIs" dxfId="1977" priority="2135" operator="equal">
      <formula>"Bajo"</formula>
    </cfRule>
  </conditionalFormatting>
  <conditionalFormatting sqref="M151 M157 M163 M169 M175 M181 M187">
    <cfRule type="cellIs" dxfId="1976" priority="2127" operator="equal">
      <formula>"Catastrófico"</formula>
    </cfRule>
    <cfRule type="cellIs" dxfId="1975" priority="2128" operator="equal">
      <formula>"Mayor"</formula>
    </cfRule>
    <cfRule type="cellIs" dxfId="1974" priority="2129" operator="equal">
      <formula>"Moderado"</formula>
    </cfRule>
    <cfRule type="cellIs" dxfId="1973" priority="2130" operator="equal">
      <formula>"Menor"</formula>
    </cfRule>
    <cfRule type="cellIs" dxfId="1972" priority="2131" operator="equal">
      <formula>"Leve"</formula>
    </cfRule>
  </conditionalFormatting>
  <conditionalFormatting sqref="O151">
    <cfRule type="cellIs" dxfId="1971" priority="2123" operator="equal">
      <formula>"Extremo"</formula>
    </cfRule>
    <cfRule type="cellIs" dxfId="1970" priority="2124" operator="equal">
      <formula>"Alto"</formula>
    </cfRule>
    <cfRule type="cellIs" dxfId="1969" priority="2125" operator="equal">
      <formula>"Moderado"</formula>
    </cfRule>
    <cfRule type="cellIs" dxfId="1968" priority="2126" operator="equal">
      <formula>"Bajo"</formula>
    </cfRule>
  </conditionalFormatting>
  <conditionalFormatting sqref="O157">
    <cfRule type="cellIs" dxfId="1967" priority="2119" operator="equal">
      <formula>"Extremo"</formula>
    </cfRule>
    <cfRule type="cellIs" dxfId="1966" priority="2120" operator="equal">
      <formula>"Alto"</formula>
    </cfRule>
    <cfRule type="cellIs" dxfId="1965" priority="2121" operator="equal">
      <formula>"Moderado"</formula>
    </cfRule>
    <cfRule type="cellIs" dxfId="1964" priority="2122" operator="equal">
      <formula>"Bajo"</formula>
    </cfRule>
  </conditionalFormatting>
  <conditionalFormatting sqref="O163">
    <cfRule type="cellIs" dxfId="1963" priority="2115" operator="equal">
      <formula>"Extremo"</formula>
    </cfRule>
    <cfRule type="cellIs" dxfId="1962" priority="2116" operator="equal">
      <formula>"Alto"</formula>
    </cfRule>
    <cfRule type="cellIs" dxfId="1961" priority="2117" operator="equal">
      <formula>"Moderado"</formula>
    </cfRule>
    <cfRule type="cellIs" dxfId="1960" priority="2118" operator="equal">
      <formula>"Bajo"</formula>
    </cfRule>
  </conditionalFormatting>
  <conditionalFormatting sqref="O169">
    <cfRule type="cellIs" dxfId="1959" priority="2111" operator="equal">
      <formula>"Extremo"</formula>
    </cfRule>
    <cfRule type="cellIs" dxfId="1958" priority="2112" operator="equal">
      <formula>"Alto"</formula>
    </cfRule>
    <cfRule type="cellIs" dxfId="1957" priority="2113" operator="equal">
      <formula>"Moderado"</formula>
    </cfRule>
    <cfRule type="cellIs" dxfId="1956" priority="2114" operator="equal">
      <formula>"Bajo"</formula>
    </cfRule>
  </conditionalFormatting>
  <conditionalFormatting sqref="O175">
    <cfRule type="cellIs" dxfId="1955" priority="2107" operator="equal">
      <formula>"Extremo"</formula>
    </cfRule>
    <cfRule type="cellIs" dxfId="1954" priority="2108" operator="equal">
      <formula>"Alto"</formula>
    </cfRule>
    <cfRule type="cellIs" dxfId="1953" priority="2109" operator="equal">
      <formula>"Moderado"</formula>
    </cfRule>
    <cfRule type="cellIs" dxfId="1952" priority="2110" operator="equal">
      <formula>"Bajo"</formula>
    </cfRule>
  </conditionalFormatting>
  <conditionalFormatting sqref="O181">
    <cfRule type="cellIs" dxfId="1951" priority="2103" operator="equal">
      <formula>"Extremo"</formula>
    </cfRule>
    <cfRule type="cellIs" dxfId="1950" priority="2104" operator="equal">
      <formula>"Alto"</formula>
    </cfRule>
    <cfRule type="cellIs" dxfId="1949" priority="2105" operator="equal">
      <formula>"Moderado"</formula>
    </cfRule>
    <cfRule type="cellIs" dxfId="1948" priority="2106" operator="equal">
      <formula>"Bajo"</formula>
    </cfRule>
  </conditionalFormatting>
  <conditionalFormatting sqref="O187">
    <cfRule type="cellIs" dxfId="1947" priority="2099" operator="equal">
      <formula>"Extremo"</formula>
    </cfRule>
    <cfRule type="cellIs" dxfId="1946" priority="2100" operator="equal">
      <formula>"Alto"</formula>
    </cfRule>
    <cfRule type="cellIs" dxfId="1945" priority="2101" operator="equal">
      <formula>"Moderado"</formula>
    </cfRule>
    <cfRule type="cellIs" dxfId="1944" priority="2102" operator="equal">
      <formula>"Bajo"</formula>
    </cfRule>
  </conditionalFormatting>
  <conditionalFormatting sqref="L151:L192">
    <cfRule type="containsText" dxfId="1943" priority="2098" operator="containsText" text="❌">
      <formula>NOT(ISERROR(SEARCH("❌",L151)))</formula>
    </cfRule>
  </conditionalFormatting>
  <conditionalFormatting sqref="Z157:Z162">
    <cfRule type="cellIs" dxfId="1942" priority="2093" operator="equal">
      <formula>"Muy Alta"</formula>
    </cfRule>
    <cfRule type="cellIs" dxfId="1941" priority="2094" operator="equal">
      <formula>"Alta"</formula>
    </cfRule>
    <cfRule type="cellIs" dxfId="1940" priority="2095" operator="equal">
      <formula>"Media"</formula>
    </cfRule>
    <cfRule type="cellIs" dxfId="1939" priority="2096" operator="equal">
      <formula>"Baja"</formula>
    </cfRule>
    <cfRule type="cellIs" dxfId="1938" priority="2097" operator="equal">
      <formula>"Muy Baja"</formula>
    </cfRule>
  </conditionalFormatting>
  <conditionalFormatting sqref="AB157:AB162">
    <cfRule type="cellIs" dxfId="1937" priority="2088" operator="equal">
      <formula>"Catastrófico"</formula>
    </cfRule>
    <cfRule type="cellIs" dxfId="1936" priority="2089" operator="equal">
      <formula>"Mayor"</formula>
    </cfRule>
    <cfRule type="cellIs" dxfId="1935" priority="2090" operator="equal">
      <formula>"Moderado"</formula>
    </cfRule>
    <cfRule type="cellIs" dxfId="1934" priority="2091" operator="equal">
      <formula>"Menor"</formula>
    </cfRule>
    <cfRule type="cellIs" dxfId="1933" priority="2092" operator="equal">
      <formula>"Leve"</formula>
    </cfRule>
  </conditionalFormatting>
  <conditionalFormatting sqref="AD157:AD162">
    <cfRule type="cellIs" dxfId="1932" priority="2084" operator="equal">
      <formula>"Extremo"</formula>
    </cfRule>
    <cfRule type="cellIs" dxfId="1931" priority="2085" operator="equal">
      <formula>"Alto"</formula>
    </cfRule>
    <cfRule type="cellIs" dxfId="1930" priority="2086" operator="equal">
      <formula>"Moderado"</formula>
    </cfRule>
    <cfRule type="cellIs" dxfId="1929" priority="2087" operator="equal">
      <formula>"Bajo"</formula>
    </cfRule>
  </conditionalFormatting>
  <conditionalFormatting sqref="I157">
    <cfRule type="cellIs" dxfId="1928" priority="2079" operator="equal">
      <formula>"Muy Alta"</formula>
    </cfRule>
    <cfRule type="cellIs" dxfId="1927" priority="2080" operator="equal">
      <formula>"Alta"</formula>
    </cfRule>
    <cfRule type="cellIs" dxfId="1926" priority="2081" operator="equal">
      <formula>"Media"</formula>
    </cfRule>
    <cfRule type="cellIs" dxfId="1925" priority="2082" operator="equal">
      <formula>"Baja"</formula>
    </cfRule>
    <cfRule type="cellIs" dxfId="1924" priority="2083" operator="equal">
      <formula>"Muy Baja"</formula>
    </cfRule>
  </conditionalFormatting>
  <conditionalFormatting sqref="I163">
    <cfRule type="cellIs" dxfId="1923" priority="2074" operator="equal">
      <formula>"Muy Alta"</formula>
    </cfRule>
    <cfRule type="cellIs" dxfId="1922" priority="2075" operator="equal">
      <formula>"Alta"</formula>
    </cfRule>
    <cfRule type="cellIs" dxfId="1921" priority="2076" operator="equal">
      <formula>"Media"</formula>
    </cfRule>
    <cfRule type="cellIs" dxfId="1920" priority="2077" operator="equal">
      <formula>"Baja"</formula>
    </cfRule>
    <cfRule type="cellIs" dxfId="1919" priority="2078" operator="equal">
      <formula>"Muy Baja"</formula>
    </cfRule>
  </conditionalFormatting>
  <conditionalFormatting sqref="I169">
    <cfRule type="cellIs" dxfId="1918" priority="2069" operator="equal">
      <formula>"Muy Alta"</formula>
    </cfRule>
    <cfRule type="cellIs" dxfId="1917" priority="2070" operator="equal">
      <formula>"Alta"</formula>
    </cfRule>
    <cfRule type="cellIs" dxfId="1916" priority="2071" operator="equal">
      <formula>"Media"</formula>
    </cfRule>
    <cfRule type="cellIs" dxfId="1915" priority="2072" operator="equal">
      <formula>"Baja"</formula>
    </cfRule>
    <cfRule type="cellIs" dxfId="1914" priority="2073" operator="equal">
      <formula>"Muy Baja"</formula>
    </cfRule>
  </conditionalFormatting>
  <conditionalFormatting sqref="I175">
    <cfRule type="cellIs" dxfId="1913" priority="2064" operator="equal">
      <formula>"Muy Alta"</formula>
    </cfRule>
    <cfRule type="cellIs" dxfId="1912" priority="2065" operator="equal">
      <formula>"Alta"</formula>
    </cfRule>
    <cfRule type="cellIs" dxfId="1911" priority="2066" operator="equal">
      <formula>"Media"</formula>
    </cfRule>
    <cfRule type="cellIs" dxfId="1910" priority="2067" operator="equal">
      <formula>"Baja"</formula>
    </cfRule>
    <cfRule type="cellIs" dxfId="1909" priority="2068" operator="equal">
      <formula>"Muy Baja"</formula>
    </cfRule>
  </conditionalFormatting>
  <conditionalFormatting sqref="I181">
    <cfRule type="cellIs" dxfId="1908" priority="2059" operator="equal">
      <formula>"Muy Alta"</formula>
    </cfRule>
    <cfRule type="cellIs" dxfId="1907" priority="2060" operator="equal">
      <formula>"Alta"</formula>
    </cfRule>
    <cfRule type="cellIs" dxfId="1906" priority="2061" operator="equal">
      <formula>"Media"</formula>
    </cfRule>
    <cfRule type="cellIs" dxfId="1905" priority="2062" operator="equal">
      <formula>"Baja"</formula>
    </cfRule>
    <cfRule type="cellIs" dxfId="1904" priority="2063" operator="equal">
      <formula>"Muy Baja"</formula>
    </cfRule>
  </conditionalFormatting>
  <conditionalFormatting sqref="I187">
    <cfRule type="cellIs" dxfId="1903" priority="2054" operator="equal">
      <formula>"Muy Alta"</formula>
    </cfRule>
    <cfRule type="cellIs" dxfId="1902" priority="2055" operator="equal">
      <formula>"Alta"</formula>
    </cfRule>
    <cfRule type="cellIs" dxfId="1901" priority="2056" operator="equal">
      <formula>"Media"</formula>
    </cfRule>
    <cfRule type="cellIs" dxfId="1900" priority="2057" operator="equal">
      <formula>"Baja"</formula>
    </cfRule>
    <cfRule type="cellIs" dxfId="1899" priority="2058" operator="equal">
      <formula>"Muy Baja"</formula>
    </cfRule>
  </conditionalFormatting>
  <conditionalFormatting sqref="I151">
    <cfRule type="cellIs" dxfId="1898" priority="2049" operator="equal">
      <formula>"Muy Alta"</formula>
    </cfRule>
    <cfRule type="cellIs" dxfId="1897" priority="2050" operator="equal">
      <formula>"Alta"</formula>
    </cfRule>
    <cfRule type="cellIs" dxfId="1896" priority="2051" operator="equal">
      <formula>"Media"</formula>
    </cfRule>
    <cfRule type="cellIs" dxfId="1895" priority="2052" operator="equal">
      <formula>"Baja"</formula>
    </cfRule>
    <cfRule type="cellIs" dxfId="1894" priority="2053" operator="equal">
      <formula>"Muy Baja"</formula>
    </cfRule>
  </conditionalFormatting>
  <conditionalFormatting sqref="Z151:Z156">
    <cfRule type="cellIs" dxfId="1893" priority="2044" operator="equal">
      <formula>"Muy Alta"</formula>
    </cfRule>
    <cfRule type="cellIs" dxfId="1892" priority="2045" operator="equal">
      <formula>"Alta"</formula>
    </cfRule>
    <cfRule type="cellIs" dxfId="1891" priority="2046" operator="equal">
      <formula>"Media"</formula>
    </cfRule>
    <cfRule type="cellIs" dxfId="1890" priority="2047" operator="equal">
      <formula>"Baja"</formula>
    </cfRule>
    <cfRule type="cellIs" dxfId="1889" priority="2048" operator="equal">
      <formula>"Muy Baja"</formula>
    </cfRule>
  </conditionalFormatting>
  <conditionalFormatting sqref="AB151:AB156">
    <cfRule type="cellIs" dxfId="1888" priority="2039" operator="equal">
      <formula>"Catastrófico"</formula>
    </cfRule>
    <cfRule type="cellIs" dxfId="1887" priority="2040" operator="equal">
      <formula>"Mayor"</formula>
    </cfRule>
    <cfRule type="cellIs" dxfId="1886" priority="2041" operator="equal">
      <formula>"Moderado"</formula>
    </cfRule>
    <cfRule type="cellIs" dxfId="1885" priority="2042" operator="equal">
      <formula>"Menor"</formula>
    </cfRule>
    <cfRule type="cellIs" dxfId="1884" priority="2043" operator="equal">
      <formula>"Leve"</formula>
    </cfRule>
  </conditionalFormatting>
  <conditionalFormatting sqref="AD151:AD156">
    <cfRule type="cellIs" dxfId="1883" priority="2035" operator="equal">
      <formula>"Extremo"</formula>
    </cfRule>
    <cfRule type="cellIs" dxfId="1882" priority="2036" operator="equal">
      <formula>"Alto"</formula>
    </cfRule>
    <cfRule type="cellIs" dxfId="1881" priority="2037" operator="equal">
      <formula>"Moderado"</formula>
    </cfRule>
    <cfRule type="cellIs" dxfId="1880" priority="2038" operator="equal">
      <formula>"Bajo"</formula>
    </cfRule>
  </conditionalFormatting>
  <conditionalFormatting sqref="Z163:Z168">
    <cfRule type="cellIs" dxfId="1879" priority="2030" operator="equal">
      <formula>"Muy Alta"</formula>
    </cfRule>
    <cfRule type="cellIs" dxfId="1878" priority="2031" operator="equal">
      <formula>"Alta"</formula>
    </cfRule>
    <cfRule type="cellIs" dxfId="1877" priority="2032" operator="equal">
      <formula>"Media"</formula>
    </cfRule>
    <cfRule type="cellIs" dxfId="1876" priority="2033" operator="equal">
      <formula>"Baja"</formula>
    </cfRule>
    <cfRule type="cellIs" dxfId="1875" priority="2034" operator="equal">
      <formula>"Muy Baja"</formula>
    </cfRule>
  </conditionalFormatting>
  <conditionalFormatting sqref="AB163:AB168">
    <cfRule type="cellIs" dxfId="1874" priority="2025" operator="equal">
      <formula>"Catastrófico"</formula>
    </cfRule>
    <cfRule type="cellIs" dxfId="1873" priority="2026" operator="equal">
      <formula>"Mayor"</formula>
    </cfRule>
    <cfRule type="cellIs" dxfId="1872" priority="2027" operator="equal">
      <formula>"Moderado"</formula>
    </cfRule>
    <cfRule type="cellIs" dxfId="1871" priority="2028" operator="equal">
      <formula>"Menor"</formula>
    </cfRule>
    <cfRule type="cellIs" dxfId="1870" priority="2029" operator="equal">
      <formula>"Leve"</formula>
    </cfRule>
  </conditionalFormatting>
  <conditionalFormatting sqref="AD163:AD168">
    <cfRule type="cellIs" dxfId="1869" priority="2021" operator="equal">
      <formula>"Extremo"</formula>
    </cfRule>
    <cfRule type="cellIs" dxfId="1868" priority="2022" operator="equal">
      <formula>"Alto"</formula>
    </cfRule>
    <cfRule type="cellIs" dxfId="1867" priority="2023" operator="equal">
      <formula>"Moderado"</formula>
    </cfRule>
    <cfRule type="cellIs" dxfId="1866" priority="2024" operator="equal">
      <formula>"Bajo"</formula>
    </cfRule>
  </conditionalFormatting>
  <conditionalFormatting sqref="Z169:Z174">
    <cfRule type="cellIs" dxfId="1865" priority="2016" operator="equal">
      <formula>"Muy Alta"</formula>
    </cfRule>
    <cfRule type="cellIs" dxfId="1864" priority="2017" operator="equal">
      <formula>"Alta"</formula>
    </cfRule>
    <cfRule type="cellIs" dxfId="1863" priority="2018" operator="equal">
      <formula>"Media"</formula>
    </cfRule>
    <cfRule type="cellIs" dxfId="1862" priority="2019" operator="equal">
      <formula>"Baja"</formula>
    </cfRule>
    <cfRule type="cellIs" dxfId="1861" priority="2020" operator="equal">
      <formula>"Muy Baja"</formula>
    </cfRule>
  </conditionalFormatting>
  <conditionalFormatting sqref="AB169:AB174">
    <cfRule type="cellIs" dxfId="1860" priority="2011" operator="equal">
      <formula>"Catastrófico"</formula>
    </cfRule>
    <cfRule type="cellIs" dxfId="1859" priority="2012" operator="equal">
      <formula>"Mayor"</formula>
    </cfRule>
    <cfRule type="cellIs" dxfId="1858" priority="2013" operator="equal">
      <formula>"Moderado"</formula>
    </cfRule>
    <cfRule type="cellIs" dxfId="1857" priority="2014" operator="equal">
      <formula>"Menor"</formula>
    </cfRule>
    <cfRule type="cellIs" dxfId="1856" priority="2015" operator="equal">
      <formula>"Leve"</formula>
    </cfRule>
  </conditionalFormatting>
  <conditionalFormatting sqref="AD169:AD174">
    <cfRule type="cellIs" dxfId="1855" priority="2007" operator="equal">
      <formula>"Extremo"</formula>
    </cfRule>
    <cfRule type="cellIs" dxfId="1854" priority="2008" operator="equal">
      <formula>"Alto"</formula>
    </cfRule>
    <cfRule type="cellIs" dxfId="1853" priority="2009" operator="equal">
      <formula>"Moderado"</formula>
    </cfRule>
    <cfRule type="cellIs" dxfId="1852" priority="2010" operator="equal">
      <formula>"Bajo"</formula>
    </cfRule>
  </conditionalFormatting>
  <conditionalFormatting sqref="Z175:Z180">
    <cfRule type="cellIs" dxfId="1851" priority="2002" operator="equal">
      <formula>"Muy Alta"</formula>
    </cfRule>
    <cfRule type="cellIs" dxfId="1850" priority="2003" operator="equal">
      <formula>"Alta"</formula>
    </cfRule>
    <cfRule type="cellIs" dxfId="1849" priority="2004" operator="equal">
      <formula>"Media"</formula>
    </cfRule>
    <cfRule type="cellIs" dxfId="1848" priority="2005" operator="equal">
      <formula>"Baja"</formula>
    </cfRule>
    <cfRule type="cellIs" dxfId="1847" priority="2006" operator="equal">
      <formula>"Muy Baja"</formula>
    </cfRule>
  </conditionalFormatting>
  <conditionalFormatting sqref="AB175:AB180">
    <cfRule type="cellIs" dxfId="1846" priority="1997" operator="equal">
      <formula>"Catastrófico"</formula>
    </cfRule>
    <cfRule type="cellIs" dxfId="1845" priority="1998" operator="equal">
      <formula>"Mayor"</formula>
    </cfRule>
    <cfRule type="cellIs" dxfId="1844" priority="1999" operator="equal">
      <formula>"Moderado"</formula>
    </cfRule>
    <cfRule type="cellIs" dxfId="1843" priority="2000" operator="equal">
      <formula>"Menor"</formula>
    </cfRule>
    <cfRule type="cellIs" dxfId="1842" priority="2001" operator="equal">
      <formula>"Leve"</formula>
    </cfRule>
  </conditionalFormatting>
  <conditionalFormatting sqref="AD175:AD180">
    <cfRule type="cellIs" dxfId="1841" priority="1993" operator="equal">
      <formula>"Extremo"</formula>
    </cfRule>
    <cfRule type="cellIs" dxfId="1840" priority="1994" operator="equal">
      <formula>"Alto"</formula>
    </cfRule>
    <cfRule type="cellIs" dxfId="1839" priority="1995" operator="equal">
      <formula>"Moderado"</formula>
    </cfRule>
    <cfRule type="cellIs" dxfId="1838" priority="1996" operator="equal">
      <formula>"Bajo"</formula>
    </cfRule>
  </conditionalFormatting>
  <conditionalFormatting sqref="Z181:Z186">
    <cfRule type="cellIs" dxfId="1837" priority="1988" operator="equal">
      <formula>"Muy Alta"</formula>
    </cfRule>
    <cfRule type="cellIs" dxfId="1836" priority="1989" operator="equal">
      <formula>"Alta"</formula>
    </cfRule>
    <cfRule type="cellIs" dxfId="1835" priority="1990" operator="equal">
      <formula>"Media"</formula>
    </cfRule>
    <cfRule type="cellIs" dxfId="1834" priority="1991" operator="equal">
      <formula>"Baja"</formula>
    </cfRule>
    <cfRule type="cellIs" dxfId="1833" priority="1992" operator="equal">
      <formula>"Muy Baja"</formula>
    </cfRule>
  </conditionalFormatting>
  <conditionalFormatting sqref="AB181:AB186">
    <cfRule type="cellIs" dxfId="1832" priority="1983" operator="equal">
      <formula>"Catastrófico"</formula>
    </cfRule>
    <cfRule type="cellIs" dxfId="1831" priority="1984" operator="equal">
      <formula>"Mayor"</formula>
    </cfRule>
    <cfRule type="cellIs" dxfId="1830" priority="1985" operator="equal">
      <formula>"Moderado"</formula>
    </cfRule>
    <cfRule type="cellIs" dxfId="1829" priority="1986" operator="equal">
      <formula>"Menor"</formula>
    </cfRule>
    <cfRule type="cellIs" dxfId="1828" priority="1987" operator="equal">
      <formula>"Leve"</formula>
    </cfRule>
  </conditionalFormatting>
  <conditionalFormatting sqref="AD181:AD186">
    <cfRule type="cellIs" dxfId="1827" priority="1979" operator="equal">
      <formula>"Extremo"</formula>
    </cfRule>
    <cfRule type="cellIs" dxfId="1826" priority="1980" operator="equal">
      <formula>"Alto"</formula>
    </cfRule>
    <cfRule type="cellIs" dxfId="1825" priority="1981" operator="equal">
      <formula>"Moderado"</formula>
    </cfRule>
    <cfRule type="cellIs" dxfId="1824" priority="1982" operator="equal">
      <formula>"Bajo"</formula>
    </cfRule>
  </conditionalFormatting>
  <conditionalFormatting sqref="Z187:Z192">
    <cfRule type="cellIs" dxfId="1823" priority="1974" operator="equal">
      <formula>"Muy Alta"</formula>
    </cfRule>
    <cfRule type="cellIs" dxfId="1822" priority="1975" operator="equal">
      <formula>"Alta"</formula>
    </cfRule>
    <cfRule type="cellIs" dxfId="1821" priority="1976" operator="equal">
      <formula>"Media"</formula>
    </cfRule>
    <cfRule type="cellIs" dxfId="1820" priority="1977" operator="equal">
      <formula>"Baja"</formula>
    </cfRule>
    <cfRule type="cellIs" dxfId="1819" priority="1978" operator="equal">
      <formula>"Muy Baja"</formula>
    </cfRule>
  </conditionalFormatting>
  <conditionalFormatting sqref="AB187:AB192">
    <cfRule type="cellIs" dxfId="1818" priority="1969" operator="equal">
      <formula>"Catastrófico"</formula>
    </cfRule>
    <cfRule type="cellIs" dxfId="1817" priority="1970" operator="equal">
      <formula>"Mayor"</formula>
    </cfRule>
    <cfRule type="cellIs" dxfId="1816" priority="1971" operator="equal">
      <formula>"Moderado"</formula>
    </cfRule>
    <cfRule type="cellIs" dxfId="1815" priority="1972" operator="equal">
      <formula>"Menor"</formula>
    </cfRule>
    <cfRule type="cellIs" dxfId="1814" priority="1973" operator="equal">
      <formula>"Leve"</formula>
    </cfRule>
  </conditionalFormatting>
  <conditionalFormatting sqref="AD187:AD192">
    <cfRule type="cellIs" dxfId="1813" priority="1965" operator="equal">
      <formula>"Extremo"</formula>
    </cfRule>
    <cfRule type="cellIs" dxfId="1812" priority="1966" operator="equal">
      <formula>"Alto"</formula>
    </cfRule>
    <cfRule type="cellIs" dxfId="1811" priority="1967" operator="equal">
      <formula>"Moderado"</formula>
    </cfRule>
    <cfRule type="cellIs" dxfId="1810" priority="1968" operator="equal">
      <formula>"Bajo"</formula>
    </cfRule>
  </conditionalFormatting>
  <conditionalFormatting sqref="M193 M199 M205 M211">
    <cfRule type="cellIs" dxfId="1809" priority="1960" operator="equal">
      <formula>"Catastrófico"</formula>
    </cfRule>
    <cfRule type="cellIs" dxfId="1808" priority="1961" operator="equal">
      <formula>"Mayor"</formula>
    </cfRule>
    <cfRule type="cellIs" dxfId="1807" priority="1962" operator="equal">
      <formula>"Moderado"</formula>
    </cfRule>
    <cfRule type="cellIs" dxfId="1806" priority="1963" operator="equal">
      <formula>"Menor"</formula>
    </cfRule>
    <cfRule type="cellIs" dxfId="1805" priority="1964" operator="equal">
      <formula>"Leve"</formula>
    </cfRule>
  </conditionalFormatting>
  <conditionalFormatting sqref="O193">
    <cfRule type="cellIs" dxfId="1804" priority="1956" operator="equal">
      <formula>"Extremo"</formula>
    </cfRule>
    <cfRule type="cellIs" dxfId="1803" priority="1957" operator="equal">
      <formula>"Alto"</formula>
    </cfRule>
    <cfRule type="cellIs" dxfId="1802" priority="1958" operator="equal">
      <formula>"Moderado"</formula>
    </cfRule>
    <cfRule type="cellIs" dxfId="1801" priority="1959" operator="equal">
      <formula>"Bajo"</formula>
    </cfRule>
  </conditionalFormatting>
  <conditionalFormatting sqref="O199">
    <cfRule type="cellIs" dxfId="1800" priority="1952" operator="equal">
      <formula>"Extremo"</formula>
    </cfRule>
    <cfRule type="cellIs" dxfId="1799" priority="1953" operator="equal">
      <formula>"Alto"</formula>
    </cfRule>
    <cfRule type="cellIs" dxfId="1798" priority="1954" operator="equal">
      <formula>"Moderado"</formula>
    </cfRule>
    <cfRule type="cellIs" dxfId="1797" priority="1955" operator="equal">
      <formula>"Bajo"</formula>
    </cfRule>
  </conditionalFormatting>
  <conditionalFormatting sqref="O205">
    <cfRule type="cellIs" dxfId="1796" priority="1948" operator="equal">
      <formula>"Extremo"</formula>
    </cfRule>
    <cfRule type="cellIs" dxfId="1795" priority="1949" operator="equal">
      <formula>"Alto"</formula>
    </cfRule>
    <cfRule type="cellIs" dxfId="1794" priority="1950" operator="equal">
      <formula>"Moderado"</formula>
    </cfRule>
    <cfRule type="cellIs" dxfId="1793" priority="1951" operator="equal">
      <formula>"Bajo"</formula>
    </cfRule>
  </conditionalFormatting>
  <conditionalFormatting sqref="O211">
    <cfRule type="cellIs" dxfId="1792" priority="1944" operator="equal">
      <formula>"Extremo"</formula>
    </cfRule>
    <cfRule type="cellIs" dxfId="1791" priority="1945" operator="equal">
      <formula>"Alto"</formula>
    </cfRule>
    <cfRule type="cellIs" dxfId="1790" priority="1946" operator="equal">
      <formula>"Moderado"</formula>
    </cfRule>
    <cfRule type="cellIs" dxfId="1789" priority="1947" operator="equal">
      <formula>"Bajo"</formula>
    </cfRule>
  </conditionalFormatting>
  <conditionalFormatting sqref="L193:L216">
    <cfRule type="containsText" dxfId="1788" priority="1943" operator="containsText" text="❌">
      <formula>NOT(ISERROR(SEARCH("❌",L193)))</formula>
    </cfRule>
  </conditionalFormatting>
  <conditionalFormatting sqref="Z199:Z204">
    <cfRule type="cellIs" dxfId="1787" priority="1938" operator="equal">
      <formula>"Muy Alta"</formula>
    </cfRule>
    <cfRule type="cellIs" dxfId="1786" priority="1939" operator="equal">
      <formula>"Alta"</formula>
    </cfRule>
    <cfRule type="cellIs" dxfId="1785" priority="1940" operator="equal">
      <formula>"Media"</formula>
    </cfRule>
    <cfRule type="cellIs" dxfId="1784" priority="1941" operator="equal">
      <formula>"Baja"</formula>
    </cfRule>
    <cfRule type="cellIs" dxfId="1783" priority="1942" operator="equal">
      <formula>"Muy Baja"</formula>
    </cfRule>
  </conditionalFormatting>
  <conditionalFormatting sqref="AB199:AB204">
    <cfRule type="cellIs" dxfId="1782" priority="1933" operator="equal">
      <formula>"Catastrófico"</formula>
    </cfRule>
    <cfRule type="cellIs" dxfId="1781" priority="1934" operator="equal">
      <formula>"Mayor"</formula>
    </cfRule>
    <cfRule type="cellIs" dxfId="1780" priority="1935" operator="equal">
      <formula>"Moderado"</formula>
    </cfRule>
    <cfRule type="cellIs" dxfId="1779" priority="1936" operator="equal">
      <formula>"Menor"</formula>
    </cfRule>
    <cfRule type="cellIs" dxfId="1778" priority="1937" operator="equal">
      <formula>"Leve"</formula>
    </cfRule>
  </conditionalFormatting>
  <conditionalFormatting sqref="AD199:AD204">
    <cfRule type="cellIs" dxfId="1777" priority="1929" operator="equal">
      <formula>"Extremo"</formula>
    </cfRule>
    <cfRule type="cellIs" dxfId="1776" priority="1930" operator="equal">
      <formula>"Alto"</formula>
    </cfRule>
    <cfRule type="cellIs" dxfId="1775" priority="1931" operator="equal">
      <formula>"Moderado"</formula>
    </cfRule>
    <cfRule type="cellIs" dxfId="1774" priority="1932" operator="equal">
      <formula>"Bajo"</formula>
    </cfRule>
  </conditionalFormatting>
  <conditionalFormatting sqref="I199">
    <cfRule type="cellIs" dxfId="1773" priority="1924" operator="equal">
      <formula>"Muy Alta"</formula>
    </cfRule>
    <cfRule type="cellIs" dxfId="1772" priority="1925" operator="equal">
      <formula>"Alta"</formula>
    </cfRule>
    <cfRule type="cellIs" dxfId="1771" priority="1926" operator="equal">
      <formula>"Media"</formula>
    </cfRule>
    <cfRule type="cellIs" dxfId="1770" priority="1927" operator="equal">
      <formula>"Baja"</formula>
    </cfRule>
    <cfRule type="cellIs" dxfId="1769" priority="1928" operator="equal">
      <formula>"Muy Baja"</formula>
    </cfRule>
  </conditionalFormatting>
  <conditionalFormatting sqref="I205">
    <cfRule type="cellIs" dxfId="1768" priority="1919" operator="equal">
      <formula>"Muy Alta"</formula>
    </cfRule>
    <cfRule type="cellIs" dxfId="1767" priority="1920" operator="equal">
      <formula>"Alta"</formula>
    </cfRule>
    <cfRule type="cellIs" dxfId="1766" priority="1921" operator="equal">
      <formula>"Media"</formula>
    </cfRule>
    <cfRule type="cellIs" dxfId="1765" priority="1922" operator="equal">
      <formula>"Baja"</formula>
    </cfRule>
    <cfRule type="cellIs" dxfId="1764" priority="1923" operator="equal">
      <formula>"Muy Baja"</formula>
    </cfRule>
  </conditionalFormatting>
  <conditionalFormatting sqref="I211">
    <cfRule type="cellIs" dxfId="1763" priority="1914" operator="equal">
      <formula>"Muy Alta"</formula>
    </cfRule>
    <cfRule type="cellIs" dxfId="1762" priority="1915" operator="equal">
      <formula>"Alta"</formula>
    </cfRule>
    <cfRule type="cellIs" dxfId="1761" priority="1916" operator="equal">
      <formula>"Media"</formula>
    </cfRule>
    <cfRule type="cellIs" dxfId="1760" priority="1917" operator="equal">
      <formula>"Baja"</formula>
    </cfRule>
    <cfRule type="cellIs" dxfId="1759" priority="1918" operator="equal">
      <formula>"Muy Baja"</formula>
    </cfRule>
  </conditionalFormatting>
  <conditionalFormatting sqref="I193">
    <cfRule type="cellIs" dxfId="1758" priority="1909" operator="equal">
      <formula>"Muy Alta"</formula>
    </cfRule>
    <cfRule type="cellIs" dxfId="1757" priority="1910" operator="equal">
      <formula>"Alta"</formula>
    </cfRule>
    <cfRule type="cellIs" dxfId="1756" priority="1911" operator="equal">
      <formula>"Media"</formula>
    </cfRule>
    <cfRule type="cellIs" dxfId="1755" priority="1912" operator="equal">
      <formula>"Baja"</formula>
    </cfRule>
    <cfRule type="cellIs" dxfId="1754" priority="1913" operator="equal">
      <formula>"Muy Baja"</formula>
    </cfRule>
  </conditionalFormatting>
  <conditionalFormatting sqref="Z193:Z198">
    <cfRule type="cellIs" dxfId="1753" priority="1904" operator="equal">
      <formula>"Muy Alta"</formula>
    </cfRule>
    <cfRule type="cellIs" dxfId="1752" priority="1905" operator="equal">
      <formula>"Alta"</formula>
    </cfRule>
    <cfRule type="cellIs" dxfId="1751" priority="1906" operator="equal">
      <formula>"Media"</formula>
    </cfRule>
    <cfRule type="cellIs" dxfId="1750" priority="1907" operator="equal">
      <formula>"Baja"</formula>
    </cfRule>
    <cfRule type="cellIs" dxfId="1749" priority="1908" operator="equal">
      <formula>"Muy Baja"</formula>
    </cfRule>
  </conditionalFormatting>
  <conditionalFormatting sqref="AB193:AB198">
    <cfRule type="cellIs" dxfId="1748" priority="1899" operator="equal">
      <formula>"Catastrófico"</formula>
    </cfRule>
    <cfRule type="cellIs" dxfId="1747" priority="1900" operator="equal">
      <formula>"Mayor"</formula>
    </cfRule>
    <cfRule type="cellIs" dxfId="1746" priority="1901" operator="equal">
      <formula>"Moderado"</formula>
    </cfRule>
    <cfRule type="cellIs" dxfId="1745" priority="1902" operator="equal">
      <formula>"Menor"</formula>
    </cfRule>
    <cfRule type="cellIs" dxfId="1744" priority="1903" operator="equal">
      <formula>"Leve"</formula>
    </cfRule>
  </conditionalFormatting>
  <conditionalFormatting sqref="AD193:AD198">
    <cfRule type="cellIs" dxfId="1743" priority="1895" operator="equal">
      <formula>"Extremo"</formula>
    </cfRule>
    <cfRule type="cellIs" dxfId="1742" priority="1896" operator="equal">
      <formula>"Alto"</formula>
    </cfRule>
    <cfRule type="cellIs" dxfId="1741" priority="1897" operator="equal">
      <formula>"Moderado"</formula>
    </cfRule>
    <cfRule type="cellIs" dxfId="1740" priority="1898" operator="equal">
      <formula>"Bajo"</formula>
    </cfRule>
  </conditionalFormatting>
  <conditionalFormatting sqref="Z205:Z210">
    <cfRule type="cellIs" dxfId="1739" priority="1890" operator="equal">
      <formula>"Muy Alta"</formula>
    </cfRule>
    <cfRule type="cellIs" dxfId="1738" priority="1891" operator="equal">
      <formula>"Alta"</formula>
    </cfRule>
    <cfRule type="cellIs" dxfId="1737" priority="1892" operator="equal">
      <formula>"Media"</formula>
    </cfRule>
    <cfRule type="cellIs" dxfId="1736" priority="1893" operator="equal">
      <formula>"Baja"</formula>
    </cfRule>
    <cfRule type="cellIs" dxfId="1735" priority="1894" operator="equal">
      <formula>"Muy Baja"</formula>
    </cfRule>
  </conditionalFormatting>
  <conditionalFormatting sqref="AB205:AB210">
    <cfRule type="cellIs" dxfId="1734" priority="1885" operator="equal">
      <formula>"Catastrófico"</formula>
    </cfRule>
    <cfRule type="cellIs" dxfId="1733" priority="1886" operator="equal">
      <formula>"Mayor"</formula>
    </cfRule>
    <cfRule type="cellIs" dxfId="1732" priority="1887" operator="equal">
      <formula>"Moderado"</formula>
    </cfRule>
    <cfRule type="cellIs" dxfId="1731" priority="1888" operator="equal">
      <formula>"Menor"</formula>
    </cfRule>
    <cfRule type="cellIs" dxfId="1730" priority="1889" operator="equal">
      <formula>"Leve"</formula>
    </cfRule>
  </conditionalFormatting>
  <conditionalFormatting sqref="AD205:AD210">
    <cfRule type="cellIs" dxfId="1729" priority="1881" operator="equal">
      <formula>"Extremo"</formula>
    </cfRule>
    <cfRule type="cellIs" dxfId="1728" priority="1882" operator="equal">
      <formula>"Alto"</formula>
    </cfRule>
    <cfRule type="cellIs" dxfId="1727" priority="1883" operator="equal">
      <formula>"Moderado"</formula>
    </cfRule>
    <cfRule type="cellIs" dxfId="1726" priority="1884" operator="equal">
      <formula>"Bajo"</formula>
    </cfRule>
  </conditionalFormatting>
  <conditionalFormatting sqref="Z211:Z216">
    <cfRule type="cellIs" dxfId="1725" priority="1876" operator="equal">
      <formula>"Muy Alta"</formula>
    </cfRule>
    <cfRule type="cellIs" dxfId="1724" priority="1877" operator="equal">
      <formula>"Alta"</formula>
    </cfRule>
    <cfRule type="cellIs" dxfId="1723" priority="1878" operator="equal">
      <formula>"Media"</formula>
    </cfRule>
    <cfRule type="cellIs" dxfId="1722" priority="1879" operator="equal">
      <formula>"Baja"</formula>
    </cfRule>
    <cfRule type="cellIs" dxfId="1721" priority="1880" operator="equal">
      <formula>"Muy Baja"</formula>
    </cfRule>
  </conditionalFormatting>
  <conditionalFormatting sqref="AB211:AB216">
    <cfRule type="cellIs" dxfId="1720" priority="1871" operator="equal">
      <formula>"Catastrófico"</formula>
    </cfRule>
    <cfRule type="cellIs" dxfId="1719" priority="1872" operator="equal">
      <formula>"Mayor"</formula>
    </cfRule>
    <cfRule type="cellIs" dxfId="1718" priority="1873" operator="equal">
      <formula>"Moderado"</formula>
    </cfRule>
    <cfRule type="cellIs" dxfId="1717" priority="1874" operator="equal">
      <formula>"Menor"</formula>
    </cfRule>
    <cfRule type="cellIs" dxfId="1716" priority="1875" operator="equal">
      <formula>"Leve"</formula>
    </cfRule>
  </conditionalFormatting>
  <conditionalFormatting sqref="AD211:AD216">
    <cfRule type="cellIs" dxfId="1715" priority="1867" operator="equal">
      <formula>"Extremo"</formula>
    </cfRule>
    <cfRule type="cellIs" dxfId="1714" priority="1868" operator="equal">
      <formula>"Alto"</formula>
    </cfRule>
    <cfRule type="cellIs" dxfId="1713" priority="1869" operator="equal">
      <formula>"Moderado"</formula>
    </cfRule>
    <cfRule type="cellIs" dxfId="1712" priority="1870" operator="equal">
      <formula>"Bajo"</formula>
    </cfRule>
  </conditionalFormatting>
  <conditionalFormatting sqref="M217 M229 M235 M241 M247 M253">
    <cfRule type="cellIs" dxfId="1711" priority="1862" operator="equal">
      <formula>"Catastrófico"</formula>
    </cfRule>
    <cfRule type="cellIs" dxfId="1710" priority="1863" operator="equal">
      <formula>"Mayor"</formula>
    </cfRule>
    <cfRule type="cellIs" dxfId="1709" priority="1864" operator="equal">
      <formula>"Moderado"</formula>
    </cfRule>
    <cfRule type="cellIs" dxfId="1708" priority="1865" operator="equal">
      <formula>"Menor"</formula>
    </cfRule>
    <cfRule type="cellIs" dxfId="1707" priority="1866" operator="equal">
      <formula>"Leve"</formula>
    </cfRule>
  </conditionalFormatting>
  <conditionalFormatting sqref="O217">
    <cfRule type="cellIs" dxfId="1706" priority="1858" operator="equal">
      <formula>"Extremo"</formula>
    </cfRule>
    <cfRule type="cellIs" dxfId="1705" priority="1859" operator="equal">
      <formula>"Alto"</formula>
    </cfRule>
    <cfRule type="cellIs" dxfId="1704" priority="1860" operator="equal">
      <formula>"Moderado"</formula>
    </cfRule>
    <cfRule type="cellIs" dxfId="1703" priority="1861" operator="equal">
      <formula>"Bajo"</formula>
    </cfRule>
  </conditionalFormatting>
  <conditionalFormatting sqref="O229">
    <cfRule type="cellIs" dxfId="1702" priority="1850" operator="equal">
      <formula>"Extremo"</formula>
    </cfRule>
    <cfRule type="cellIs" dxfId="1701" priority="1851" operator="equal">
      <formula>"Alto"</formula>
    </cfRule>
    <cfRule type="cellIs" dxfId="1700" priority="1852" operator="equal">
      <formula>"Moderado"</formula>
    </cfRule>
    <cfRule type="cellIs" dxfId="1699" priority="1853" operator="equal">
      <formula>"Bajo"</formula>
    </cfRule>
  </conditionalFormatting>
  <conditionalFormatting sqref="O235">
    <cfRule type="cellIs" dxfId="1698" priority="1846" operator="equal">
      <formula>"Extremo"</formula>
    </cfRule>
    <cfRule type="cellIs" dxfId="1697" priority="1847" operator="equal">
      <formula>"Alto"</formula>
    </cfRule>
    <cfRule type="cellIs" dxfId="1696" priority="1848" operator="equal">
      <formula>"Moderado"</formula>
    </cfRule>
    <cfRule type="cellIs" dxfId="1695" priority="1849" operator="equal">
      <formula>"Bajo"</formula>
    </cfRule>
  </conditionalFormatting>
  <conditionalFormatting sqref="O241">
    <cfRule type="cellIs" dxfId="1694" priority="1842" operator="equal">
      <formula>"Extremo"</formula>
    </cfRule>
    <cfRule type="cellIs" dxfId="1693" priority="1843" operator="equal">
      <formula>"Alto"</formula>
    </cfRule>
    <cfRule type="cellIs" dxfId="1692" priority="1844" operator="equal">
      <formula>"Moderado"</formula>
    </cfRule>
    <cfRule type="cellIs" dxfId="1691" priority="1845" operator="equal">
      <formula>"Bajo"</formula>
    </cfRule>
  </conditionalFormatting>
  <conditionalFormatting sqref="O247">
    <cfRule type="cellIs" dxfId="1690" priority="1838" operator="equal">
      <formula>"Extremo"</formula>
    </cfRule>
    <cfRule type="cellIs" dxfId="1689" priority="1839" operator="equal">
      <formula>"Alto"</formula>
    </cfRule>
    <cfRule type="cellIs" dxfId="1688" priority="1840" operator="equal">
      <formula>"Moderado"</formula>
    </cfRule>
    <cfRule type="cellIs" dxfId="1687" priority="1841" operator="equal">
      <formula>"Bajo"</formula>
    </cfRule>
  </conditionalFormatting>
  <conditionalFormatting sqref="O253">
    <cfRule type="cellIs" dxfId="1686" priority="1834" operator="equal">
      <formula>"Extremo"</formula>
    </cfRule>
    <cfRule type="cellIs" dxfId="1685" priority="1835" operator="equal">
      <formula>"Alto"</formula>
    </cfRule>
    <cfRule type="cellIs" dxfId="1684" priority="1836" operator="equal">
      <formula>"Moderado"</formula>
    </cfRule>
    <cfRule type="cellIs" dxfId="1683" priority="1837" operator="equal">
      <formula>"Bajo"</formula>
    </cfRule>
  </conditionalFormatting>
  <conditionalFormatting sqref="L217:L222 L229:L258">
    <cfRule type="containsText" dxfId="1682" priority="1833" operator="containsText" text="❌">
      <formula>NOT(ISERROR(SEARCH("❌",L217)))</formula>
    </cfRule>
  </conditionalFormatting>
  <conditionalFormatting sqref="I229">
    <cfRule type="cellIs" dxfId="1681" priority="1809" operator="equal">
      <formula>"Muy Alta"</formula>
    </cfRule>
    <cfRule type="cellIs" dxfId="1680" priority="1810" operator="equal">
      <formula>"Alta"</formula>
    </cfRule>
    <cfRule type="cellIs" dxfId="1679" priority="1811" operator="equal">
      <formula>"Media"</formula>
    </cfRule>
    <cfRule type="cellIs" dxfId="1678" priority="1812" operator="equal">
      <formula>"Baja"</formula>
    </cfRule>
    <cfRule type="cellIs" dxfId="1677" priority="1813" operator="equal">
      <formula>"Muy Baja"</formula>
    </cfRule>
  </conditionalFormatting>
  <conditionalFormatting sqref="I235">
    <cfRule type="cellIs" dxfId="1676" priority="1804" operator="equal">
      <formula>"Muy Alta"</formula>
    </cfRule>
    <cfRule type="cellIs" dxfId="1675" priority="1805" operator="equal">
      <formula>"Alta"</formula>
    </cfRule>
    <cfRule type="cellIs" dxfId="1674" priority="1806" operator="equal">
      <formula>"Media"</formula>
    </cfRule>
    <cfRule type="cellIs" dxfId="1673" priority="1807" operator="equal">
      <formula>"Baja"</formula>
    </cfRule>
    <cfRule type="cellIs" dxfId="1672" priority="1808" operator="equal">
      <formula>"Muy Baja"</formula>
    </cfRule>
  </conditionalFormatting>
  <conditionalFormatting sqref="I241">
    <cfRule type="cellIs" dxfId="1671" priority="1799" operator="equal">
      <formula>"Muy Alta"</formula>
    </cfRule>
    <cfRule type="cellIs" dxfId="1670" priority="1800" operator="equal">
      <formula>"Alta"</formula>
    </cfRule>
    <cfRule type="cellIs" dxfId="1669" priority="1801" operator="equal">
      <formula>"Media"</formula>
    </cfRule>
    <cfRule type="cellIs" dxfId="1668" priority="1802" operator="equal">
      <formula>"Baja"</formula>
    </cfRule>
    <cfRule type="cellIs" dxfId="1667" priority="1803" operator="equal">
      <formula>"Muy Baja"</formula>
    </cfRule>
  </conditionalFormatting>
  <conditionalFormatting sqref="I247">
    <cfRule type="cellIs" dxfId="1666" priority="1794" operator="equal">
      <formula>"Muy Alta"</formula>
    </cfRule>
    <cfRule type="cellIs" dxfId="1665" priority="1795" operator="equal">
      <formula>"Alta"</formula>
    </cfRule>
    <cfRule type="cellIs" dxfId="1664" priority="1796" operator="equal">
      <formula>"Media"</formula>
    </cfRule>
    <cfRule type="cellIs" dxfId="1663" priority="1797" operator="equal">
      <formula>"Baja"</formula>
    </cfRule>
    <cfRule type="cellIs" dxfId="1662" priority="1798" operator="equal">
      <formula>"Muy Baja"</formula>
    </cfRule>
  </conditionalFormatting>
  <conditionalFormatting sqref="I253">
    <cfRule type="cellIs" dxfId="1661" priority="1789" operator="equal">
      <formula>"Muy Alta"</formula>
    </cfRule>
    <cfRule type="cellIs" dxfId="1660" priority="1790" operator="equal">
      <formula>"Alta"</formula>
    </cfRule>
    <cfRule type="cellIs" dxfId="1659" priority="1791" operator="equal">
      <formula>"Media"</formula>
    </cfRule>
    <cfRule type="cellIs" dxfId="1658" priority="1792" operator="equal">
      <formula>"Baja"</formula>
    </cfRule>
    <cfRule type="cellIs" dxfId="1657" priority="1793" operator="equal">
      <formula>"Muy Baja"</formula>
    </cfRule>
  </conditionalFormatting>
  <conditionalFormatting sqref="I217">
    <cfRule type="cellIs" dxfId="1656" priority="1784" operator="equal">
      <formula>"Muy Alta"</formula>
    </cfRule>
    <cfRule type="cellIs" dxfId="1655" priority="1785" operator="equal">
      <formula>"Alta"</formula>
    </cfRule>
    <cfRule type="cellIs" dxfId="1654" priority="1786" operator="equal">
      <formula>"Media"</formula>
    </cfRule>
    <cfRule type="cellIs" dxfId="1653" priority="1787" operator="equal">
      <formula>"Baja"</formula>
    </cfRule>
    <cfRule type="cellIs" dxfId="1652" priority="1788" operator="equal">
      <formula>"Muy Baja"</formula>
    </cfRule>
  </conditionalFormatting>
  <conditionalFormatting sqref="Z217:Z222">
    <cfRule type="cellIs" dxfId="1651" priority="1779" operator="equal">
      <formula>"Muy Alta"</formula>
    </cfRule>
    <cfRule type="cellIs" dxfId="1650" priority="1780" operator="equal">
      <formula>"Alta"</formula>
    </cfRule>
    <cfRule type="cellIs" dxfId="1649" priority="1781" operator="equal">
      <formula>"Media"</formula>
    </cfRule>
    <cfRule type="cellIs" dxfId="1648" priority="1782" operator="equal">
      <formula>"Baja"</formula>
    </cfRule>
    <cfRule type="cellIs" dxfId="1647" priority="1783" operator="equal">
      <formula>"Muy Baja"</formula>
    </cfRule>
  </conditionalFormatting>
  <conditionalFormatting sqref="AB217:AB222">
    <cfRule type="cellIs" dxfId="1646" priority="1774" operator="equal">
      <formula>"Catastrófico"</formula>
    </cfRule>
    <cfRule type="cellIs" dxfId="1645" priority="1775" operator="equal">
      <formula>"Mayor"</formula>
    </cfRule>
    <cfRule type="cellIs" dxfId="1644" priority="1776" operator="equal">
      <formula>"Moderado"</formula>
    </cfRule>
    <cfRule type="cellIs" dxfId="1643" priority="1777" operator="equal">
      <formula>"Menor"</formula>
    </cfRule>
    <cfRule type="cellIs" dxfId="1642" priority="1778" operator="equal">
      <formula>"Leve"</formula>
    </cfRule>
  </conditionalFormatting>
  <conditionalFormatting sqref="AD217:AD222">
    <cfRule type="cellIs" dxfId="1641" priority="1770" operator="equal">
      <formula>"Extremo"</formula>
    </cfRule>
    <cfRule type="cellIs" dxfId="1640" priority="1771" operator="equal">
      <formula>"Alto"</formula>
    </cfRule>
    <cfRule type="cellIs" dxfId="1639" priority="1772" operator="equal">
      <formula>"Moderado"</formula>
    </cfRule>
    <cfRule type="cellIs" dxfId="1638" priority="1773" operator="equal">
      <formula>"Bajo"</formula>
    </cfRule>
  </conditionalFormatting>
  <conditionalFormatting sqref="Z229:Z234">
    <cfRule type="cellIs" dxfId="1637" priority="1765" operator="equal">
      <formula>"Muy Alta"</formula>
    </cfRule>
    <cfRule type="cellIs" dxfId="1636" priority="1766" operator="equal">
      <formula>"Alta"</formula>
    </cfRule>
    <cfRule type="cellIs" dxfId="1635" priority="1767" operator="equal">
      <formula>"Media"</formula>
    </cfRule>
    <cfRule type="cellIs" dxfId="1634" priority="1768" operator="equal">
      <formula>"Baja"</formula>
    </cfRule>
    <cfRule type="cellIs" dxfId="1633" priority="1769" operator="equal">
      <formula>"Muy Baja"</formula>
    </cfRule>
  </conditionalFormatting>
  <conditionalFormatting sqref="AB229:AB234">
    <cfRule type="cellIs" dxfId="1632" priority="1760" operator="equal">
      <formula>"Catastrófico"</formula>
    </cfRule>
    <cfRule type="cellIs" dxfId="1631" priority="1761" operator="equal">
      <formula>"Mayor"</formula>
    </cfRule>
    <cfRule type="cellIs" dxfId="1630" priority="1762" operator="equal">
      <formula>"Moderado"</formula>
    </cfRule>
    <cfRule type="cellIs" dxfId="1629" priority="1763" operator="equal">
      <formula>"Menor"</formula>
    </cfRule>
    <cfRule type="cellIs" dxfId="1628" priority="1764" operator="equal">
      <formula>"Leve"</formula>
    </cfRule>
  </conditionalFormatting>
  <conditionalFormatting sqref="AD229:AD234">
    <cfRule type="cellIs" dxfId="1627" priority="1756" operator="equal">
      <formula>"Extremo"</formula>
    </cfRule>
    <cfRule type="cellIs" dxfId="1626" priority="1757" operator="equal">
      <formula>"Alto"</formula>
    </cfRule>
    <cfRule type="cellIs" dxfId="1625" priority="1758" operator="equal">
      <formula>"Moderado"</formula>
    </cfRule>
    <cfRule type="cellIs" dxfId="1624" priority="1759" operator="equal">
      <formula>"Bajo"</formula>
    </cfRule>
  </conditionalFormatting>
  <conditionalFormatting sqref="Z235:Z240">
    <cfRule type="cellIs" dxfId="1623" priority="1751" operator="equal">
      <formula>"Muy Alta"</formula>
    </cfRule>
    <cfRule type="cellIs" dxfId="1622" priority="1752" operator="equal">
      <formula>"Alta"</formula>
    </cfRule>
    <cfRule type="cellIs" dxfId="1621" priority="1753" operator="equal">
      <formula>"Media"</formula>
    </cfRule>
    <cfRule type="cellIs" dxfId="1620" priority="1754" operator="equal">
      <formula>"Baja"</formula>
    </cfRule>
    <cfRule type="cellIs" dxfId="1619" priority="1755" operator="equal">
      <formula>"Muy Baja"</formula>
    </cfRule>
  </conditionalFormatting>
  <conditionalFormatting sqref="AB235:AB240">
    <cfRule type="cellIs" dxfId="1618" priority="1746" operator="equal">
      <formula>"Catastrófico"</formula>
    </cfRule>
    <cfRule type="cellIs" dxfId="1617" priority="1747" operator="equal">
      <formula>"Mayor"</formula>
    </cfRule>
    <cfRule type="cellIs" dxfId="1616" priority="1748" operator="equal">
      <formula>"Moderado"</formula>
    </cfRule>
    <cfRule type="cellIs" dxfId="1615" priority="1749" operator="equal">
      <formula>"Menor"</formula>
    </cfRule>
    <cfRule type="cellIs" dxfId="1614" priority="1750" operator="equal">
      <formula>"Leve"</formula>
    </cfRule>
  </conditionalFormatting>
  <conditionalFormatting sqref="AD235:AD240">
    <cfRule type="cellIs" dxfId="1613" priority="1742" operator="equal">
      <formula>"Extremo"</formula>
    </cfRule>
    <cfRule type="cellIs" dxfId="1612" priority="1743" operator="equal">
      <formula>"Alto"</formula>
    </cfRule>
    <cfRule type="cellIs" dxfId="1611" priority="1744" operator="equal">
      <formula>"Moderado"</formula>
    </cfRule>
    <cfRule type="cellIs" dxfId="1610" priority="1745" operator="equal">
      <formula>"Bajo"</formula>
    </cfRule>
  </conditionalFormatting>
  <conditionalFormatting sqref="Z241:Z246">
    <cfRule type="cellIs" dxfId="1609" priority="1737" operator="equal">
      <formula>"Muy Alta"</formula>
    </cfRule>
    <cfRule type="cellIs" dxfId="1608" priority="1738" operator="equal">
      <formula>"Alta"</formula>
    </cfRule>
    <cfRule type="cellIs" dxfId="1607" priority="1739" operator="equal">
      <formula>"Media"</formula>
    </cfRule>
    <cfRule type="cellIs" dxfId="1606" priority="1740" operator="equal">
      <formula>"Baja"</formula>
    </cfRule>
    <cfRule type="cellIs" dxfId="1605" priority="1741" operator="equal">
      <formula>"Muy Baja"</formula>
    </cfRule>
  </conditionalFormatting>
  <conditionalFormatting sqref="AB241:AB246">
    <cfRule type="cellIs" dxfId="1604" priority="1732" operator="equal">
      <formula>"Catastrófico"</formula>
    </cfRule>
    <cfRule type="cellIs" dxfId="1603" priority="1733" operator="equal">
      <formula>"Mayor"</formula>
    </cfRule>
    <cfRule type="cellIs" dxfId="1602" priority="1734" operator="equal">
      <formula>"Moderado"</formula>
    </cfRule>
    <cfRule type="cellIs" dxfId="1601" priority="1735" operator="equal">
      <formula>"Menor"</formula>
    </cfRule>
    <cfRule type="cellIs" dxfId="1600" priority="1736" operator="equal">
      <formula>"Leve"</formula>
    </cfRule>
  </conditionalFormatting>
  <conditionalFormatting sqref="AD241:AD246">
    <cfRule type="cellIs" dxfId="1599" priority="1728" operator="equal">
      <formula>"Extremo"</formula>
    </cfRule>
    <cfRule type="cellIs" dxfId="1598" priority="1729" operator="equal">
      <formula>"Alto"</formula>
    </cfRule>
    <cfRule type="cellIs" dxfId="1597" priority="1730" operator="equal">
      <formula>"Moderado"</formula>
    </cfRule>
    <cfRule type="cellIs" dxfId="1596" priority="1731" operator="equal">
      <formula>"Bajo"</formula>
    </cfRule>
  </conditionalFormatting>
  <conditionalFormatting sqref="Z247:Z252">
    <cfRule type="cellIs" dxfId="1595" priority="1723" operator="equal">
      <formula>"Muy Alta"</formula>
    </cfRule>
    <cfRule type="cellIs" dxfId="1594" priority="1724" operator="equal">
      <formula>"Alta"</formula>
    </cfRule>
    <cfRule type="cellIs" dxfId="1593" priority="1725" operator="equal">
      <formula>"Media"</formula>
    </cfRule>
    <cfRule type="cellIs" dxfId="1592" priority="1726" operator="equal">
      <formula>"Baja"</formula>
    </cfRule>
    <cfRule type="cellIs" dxfId="1591" priority="1727" operator="equal">
      <formula>"Muy Baja"</formula>
    </cfRule>
  </conditionalFormatting>
  <conditionalFormatting sqref="AB247:AB252">
    <cfRule type="cellIs" dxfId="1590" priority="1718" operator="equal">
      <formula>"Catastrófico"</formula>
    </cfRule>
    <cfRule type="cellIs" dxfId="1589" priority="1719" operator="equal">
      <formula>"Mayor"</formula>
    </cfRule>
    <cfRule type="cellIs" dxfId="1588" priority="1720" operator="equal">
      <formula>"Moderado"</formula>
    </cfRule>
    <cfRule type="cellIs" dxfId="1587" priority="1721" operator="equal">
      <formula>"Menor"</formula>
    </cfRule>
    <cfRule type="cellIs" dxfId="1586" priority="1722" operator="equal">
      <formula>"Leve"</formula>
    </cfRule>
  </conditionalFormatting>
  <conditionalFormatting sqref="AD247:AD252">
    <cfRule type="cellIs" dxfId="1585" priority="1714" operator="equal">
      <formula>"Extremo"</formula>
    </cfRule>
    <cfRule type="cellIs" dxfId="1584" priority="1715" operator="equal">
      <formula>"Alto"</formula>
    </cfRule>
    <cfRule type="cellIs" dxfId="1583" priority="1716" operator="equal">
      <formula>"Moderado"</formula>
    </cfRule>
    <cfRule type="cellIs" dxfId="1582" priority="1717" operator="equal">
      <formula>"Bajo"</formula>
    </cfRule>
  </conditionalFormatting>
  <conditionalFormatting sqref="Z253:Z258">
    <cfRule type="cellIs" dxfId="1581" priority="1709" operator="equal">
      <formula>"Muy Alta"</formula>
    </cfRule>
    <cfRule type="cellIs" dxfId="1580" priority="1710" operator="equal">
      <formula>"Alta"</formula>
    </cfRule>
    <cfRule type="cellIs" dxfId="1579" priority="1711" operator="equal">
      <formula>"Media"</formula>
    </cfRule>
    <cfRule type="cellIs" dxfId="1578" priority="1712" operator="equal">
      <formula>"Baja"</formula>
    </cfRule>
    <cfRule type="cellIs" dxfId="1577" priority="1713" operator="equal">
      <formula>"Muy Baja"</formula>
    </cfRule>
  </conditionalFormatting>
  <conditionalFormatting sqref="AB253:AB258">
    <cfRule type="cellIs" dxfId="1576" priority="1704" operator="equal">
      <formula>"Catastrófico"</formula>
    </cfRule>
    <cfRule type="cellIs" dxfId="1575" priority="1705" operator="equal">
      <formula>"Mayor"</formula>
    </cfRule>
    <cfRule type="cellIs" dxfId="1574" priority="1706" operator="equal">
      <formula>"Moderado"</formula>
    </cfRule>
    <cfRule type="cellIs" dxfId="1573" priority="1707" operator="equal">
      <formula>"Menor"</formula>
    </cfRule>
    <cfRule type="cellIs" dxfId="1572" priority="1708" operator="equal">
      <formula>"Leve"</formula>
    </cfRule>
  </conditionalFormatting>
  <conditionalFormatting sqref="AD253:AD258">
    <cfRule type="cellIs" dxfId="1571" priority="1700" operator="equal">
      <formula>"Extremo"</formula>
    </cfRule>
    <cfRule type="cellIs" dxfId="1570" priority="1701" operator="equal">
      <formula>"Alto"</formula>
    </cfRule>
    <cfRule type="cellIs" dxfId="1569" priority="1702" operator="equal">
      <formula>"Moderado"</formula>
    </cfRule>
    <cfRule type="cellIs" dxfId="1568" priority="1703" operator="equal">
      <formula>"Bajo"</formula>
    </cfRule>
  </conditionalFormatting>
  <conditionalFormatting sqref="M259 M265 M271">
    <cfRule type="cellIs" dxfId="1567" priority="1695" operator="equal">
      <formula>"Catastrófico"</formula>
    </cfRule>
    <cfRule type="cellIs" dxfId="1566" priority="1696" operator="equal">
      <formula>"Mayor"</formula>
    </cfRule>
    <cfRule type="cellIs" dxfId="1565" priority="1697" operator="equal">
      <formula>"Moderado"</formula>
    </cfRule>
    <cfRule type="cellIs" dxfId="1564" priority="1698" operator="equal">
      <formula>"Menor"</formula>
    </cfRule>
    <cfRule type="cellIs" dxfId="1563" priority="1699" operator="equal">
      <formula>"Leve"</formula>
    </cfRule>
  </conditionalFormatting>
  <conditionalFormatting sqref="O259">
    <cfRule type="cellIs" dxfId="1562" priority="1691" operator="equal">
      <formula>"Extremo"</formula>
    </cfRule>
    <cfRule type="cellIs" dxfId="1561" priority="1692" operator="equal">
      <formula>"Alto"</formula>
    </cfRule>
    <cfRule type="cellIs" dxfId="1560" priority="1693" operator="equal">
      <formula>"Moderado"</formula>
    </cfRule>
    <cfRule type="cellIs" dxfId="1559" priority="1694" operator="equal">
      <formula>"Bajo"</formula>
    </cfRule>
  </conditionalFormatting>
  <conditionalFormatting sqref="O265">
    <cfRule type="cellIs" dxfId="1558" priority="1687" operator="equal">
      <formula>"Extremo"</formula>
    </cfRule>
    <cfRule type="cellIs" dxfId="1557" priority="1688" operator="equal">
      <formula>"Alto"</formula>
    </cfRule>
    <cfRule type="cellIs" dxfId="1556" priority="1689" operator="equal">
      <formula>"Moderado"</formula>
    </cfRule>
    <cfRule type="cellIs" dxfId="1555" priority="1690" operator="equal">
      <formula>"Bajo"</formula>
    </cfRule>
  </conditionalFormatting>
  <conditionalFormatting sqref="O271">
    <cfRule type="cellIs" dxfId="1554" priority="1683" operator="equal">
      <formula>"Extremo"</formula>
    </cfRule>
    <cfRule type="cellIs" dxfId="1553" priority="1684" operator="equal">
      <formula>"Alto"</formula>
    </cfRule>
    <cfRule type="cellIs" dxfId="1552" priority="1685" operator="equal">
      <formula>"Moderado"</formula>
    </cfRule>
    <cfRule type="cellIs" dxfId="1551" priority="1686" operator="equal">
      <formula>"Bajo"</formula>
    </cfRule>
  </conditionalFormatting>
  <conditionalFormatting sqref="L259:L276">
    <cfRule type="containsText" dxfId="1550" priority="1682" operator="containsText" text="❌">
      <formula>NOT(ISERROR(SEARCH("❌",L259)))</formula>
    </cfRule>
  </conditionalFormatting>
  <conditionalFormatting sqref="Z265:Z270">
    <cfRule type="cellIs" dxfId="1549" priority="1677" operator="equal">
      <formula>"Muy Alta"</formula>
    </cfRule>
    <cfRule type="cellIs" dxfId="1548" priority="1678" operator="equal">
      <formula>"Alta"</formula>
    </cfRule>
    <cfRule type="cellIs" dxfId="1547" priority="1679" operator="equal">
      <formula>"Media"</formula>
    </cfRule>
    <cfRule type="cellIs" dxfId="1546" priority="1680" operator="equal">
      <formula>"Baja"</formula>
    </cfRule>
    <cfRule type="cellIs" dxfId="1545" priority="1681" operator="equal">
      <formula>"Muy Baja"</formula>
    </cfRule>
  </conditionalFormatting>
  <conditionalFormatting sqref="AB265:AB270">
    <cfRule type="cellIs" dxfId="1544" priority="1672" operator="equal">
      <formula>"Catastrófico"</formula>
    </cfRule>
    <cfRule type="cellIs" dxfId="1543" priority="1673" operator="equal">
      <formula>"Mayor"</formula>
    </cfRule>
    <cfRule type="cellIs" dxfId="1542" priority="1674" operator="equal">
      <formula>"Moderado"</formula>
    </cfRule>
    <cfRule type="cellIs" dxfId="1541" priority="1675" operator="equal">
      <formula>"Menor"</formula>
    </cfRule>
    <cfRule type="cellIs" dxfId="1540" priority="1676" operator="equal">
      <formula>"Leve"</formula>
    </cfRule>
  </conditionalFormatting>
  <conditionalFormatting sqref="AD265:AD270">
    <cfRule type="cellIs" dxfId="1539" priority="1668" operator="equal">
      <formula>"Extremo"</formula>
    </cfRule>
    <cfRule type="cellIs" dxfId="1538" priority="1669" operator="equal">
      <formula>"Alto"</formula>
    </cfRule>
    <cfRule type="cellIs" dxfId="1537" priority="1670" operator="equal">
      <formula>"Moderado"</formula>
    </cfRule>
    <cfRule type="cellIs" dxfId="1536" priority="1671" operator="equal">
      <formula>"Bajo"</formula>
    </cfRule>
  </conditionalFormatting>
  <conditionalFormatting sqref="I265">
    <cfRule type="cellIs" dxfId="1535" priority="1663" operator="equal">
      <formula>"Muy Alta"</formula>
    </cfRule>
    <cfRule type="cellIs" dxfId="1534" priority="1664" operator="equal">
      <formula>"Alta"</formula>
    </cfRule>
    <cfRule type="cellIs" dxfId="1533" priority="1665" operator="equal">
      <formula>"Media"</formula>
    </cfRule>
    <cfRule type="cellIs" dxfId="1532" priority="1666" operator="equal">
      <formula>"Baja"</formula>
    </cfRule>
    <cfRule type="cellIs" dxfId="1531" priority="1667" operator="equal">
      <formula>"Muy Baja"</formula>
    </cfRule>
  </conditionalFormatting>
  <conditionalFormatting sqref="I271">
    <cfRule type="cellIs" dxfId="1530" priority="1658" operator="equal">
      <formula>"Muy Alta"</formula>
    </cfRule>
    <cfRule type="cellIs" dxfId="1529" priority="1659" operator="equal">
      <formula>"Alta"</formula>
    </cfRule>
    <cfRule type="cellIs" dxfId="1528" priority="1660" operator="equal">
      <formula>"Media"</formula>
    </cfRule>
    <cfRule type="cellIs" dxfId="1527" priority="1661" operator="equal">
      <formula>"Baja"</formula>
    </cfRule>
    <cfRule type="cellIs" dxfId="1526" priority="1662" operator="equal">
      <formula>"Muy Baja"</formula>
    </cfRule>
  </conditionalFormatting>
  <conditionalFormatting sqref="I259">
    <cfRule type="cellIs" dxfId="1525" priority="1653" operator="equal">
      <formula>"Muy Alta"</formula>
    </cfRule>
    <cfRule type="cellIs" dxfId="1524" priority="1654" operator="equal">
      <formula>"Alta"</formula>
    </cfRule>
    <cfRule type="cellIs" dxfId="1523" priority="1655" operator="equal">
      <formula>"Media"</formula>
    </cfRule>
    <cfRule type="cellIs" dxfId="1522" priority="1656" operator="equal">
      <formula>"Baja"</formula>
    </cfRule>
    <cfRule type="cellIs" dxfId="1521" priority="1657" operator="equal">
      <formula>"Muy Baja"</formula>
    </cfRule>
  </conditionalFormatting>
  <conditionalFormatting sqref="Z259:Z264">
    <cfRule type="cellIs" dxfId="1520" priority="1648" operator="equal">
      <formula>"Muy Alta"</formula>
    </cfRule>
    <cfRule type="cellIs" dxfId="1519" priority="1649" operator="equal">
      <formula>"Alta"</formula>
    </cfRule>
    <cfRule type="cellIs" dxfId="1518" priority="1650" operator="equal">
      <formula>"Media"</formula>
    </cfRule>
    <cfRule type="cellIs" dxfId="1517" priority="1651" operator="equal">
      <formula>"Baja"</formula>
    </cfRule>
    <cfRule type="cellIs" dxfId="1516" priority="1652" operator="equal">
      <formula>"Muy Baja"</formula>
    </cfRule>
  </conditionalFormatting>
  <conditionalFormatting sqref="AB259:AB264">
    <cfRule type="cellIs" dxfId="1515" priority="1643" operator="equal">
      <formula>"Catastrófico"</formula>
    </cfRule>
    <cfRule type="cellIs" dxfId="1514" priority="1644" operator="equal">
      <formula>"Mayor"</formula>
    </cfRule>
    <cfRule type="cellIs" dxfId="1513" priority="1645" operator="equal">
      <formula>"Moderado"</formula>
    </cfRule>
    <cfRule type="cellIs" dxfId="1512" priority="1646" operator="equal">
      <formula>"Menor"</formula>
    </cfRule>
    <cfRule type="cellIs" dxfId="1511" priority="1647" operator="equal">
      <formula>"Leve"</formula>
    </cfRule>
  </conditionalFormatting>
  <conditionalFormatting sqref="AD259:AD264">
    <cfRule type="cellIs" dxfId="1510" priority="1639" operator="equal">
      <formula>"Extremo"</formula>
    </cfRule>
    <cfRule type="cellIs" dxfId="1509" priority="1640" operator="equal">
      <formula>"Alto"</formula>
    </cfRule>
    <cfRule type="cellIs" dxfId="1508" priority="1641" operator="equal">
      <formula>"Moderado"</formula>
    </cfRule>
    <cfRule type="cellIs" dxfId="1507" priority="1642" operator="equal">
      <formula>"Bajo"</formula>
    </cfRule>
  </conditionalFormatting>
  <conditionalFormatting sqref="Z271:Z276">
    <cfRule type="cellIs" dxfId="1506" priority="1634" operator="equal">
      <formula>"Muy Alta"</formula>
    </cfRule>
    <cfRule type="cellIs" dxfId="1505" priority="1635" operator="equal">
      <formula>"Alta"</formula>
    </cfRule>
    <cfRule type="cellIs" dxfId="1504" priority="1636" operator="equal">
      <formula>"Media"</formula>
    </cfRule>
    <cfRule type="cellIs" dxfId="1503" priority="1637" operator="equal">
      <formula>"Baja"</formula>
    </cfRule>
    <cfRule type="cellIs" dxfId="1502" priority="1638" operator="equal">
      <formula>"Muy Baja"</formula>
    </cfRule>
  </conditionalFormatting>
  <conditionalFormatting sqref="AB271:AB276">
    <cfRule type="cellIs" dxfId="1501" priority="1629" operator="equal">
      <formula>"Catastrófico"</formula>
    </cfRule>
    <cfRule type="cellIs" dxfId="1500" priority="1630" operator="equal">
      <formula>"Mayor"</formula>
    </cfRule>
    <cfRule type="cellIs" dxfId="1499" priority="1631" operator="equal">
      <formula>"Moderado"</formula>
    </cfRule>
    <cfRule type="cellIs" dxfId="1498" priority="1632" operator="equal">
      <formula>"Menor"</formula>
    </cfRule>
    <cfRule type="cellIs" dxfId="1497" priority="1633" operator="equal">
      <formula>"Leve"</formula>
    </cfRule>
  </conditionalFormatting>
  <conditionalFormatting sqref="AD271:AD276">
    <cfRule type="cellIs" dxfId="1496" priority="1625" operator="equal">
      <formula>"Extremo"</formula>
    </cfRule>
    <cfRule type="cellIs" dxfId="1495" priority="1626" operator="equal">
      <formula>"Alto"</formula>
    </cfRule>
    <cfRule type="cellIs" dxfId="1494" priority="1627" operator="equal">
      <formula>"Moderado"</formula>
    </cfRule>
    <cfRule type="cellIs" dxfId="1493" priority="1628" operator="equal">
      <formula>"Bajo"</formula>
    </cfRule>
  </conditionalFormatting>
  <conditionalFormatting sqref="M277 M283">
    <cfRule type="cellIs" dxfId="1492" priority="1620" operator="equal">
      <formula>"Catastrófico"</formula>
    </cfRule>
    <cfRule type="cellIs" dxfId="1491" priority="1621" operator="equal">
      <formula>"Mayor"</formula>
    </cfRule>
    <cfRule type="cellIs" dxfId="1490" priority="1622" operator="equal">
      <formula>"Moderado"</formula>
    </cfRule>
    <cfRule type="cellIs" dxfId="1489" priority="1623" operator="equal">
      <formula>"Menor"</formula>
    </cfRule>
    <cfRule type="cellIs" dxfId="1488" priority="1624" operator="equal">
      <formula>"Leve"</formula>
    </cfRule>
  </conditionalFormatting>
  <conditionalFormatting sqref="O277">
    <cfRule type="cellIs" dxfId="1487" priority="1616" operator="equal">
      <formula>"Extremo"</formula>
    </cfRule>
    <cfRule type="cellIs" dxfId="1486" priority="1617" operator="equal">
      <formula>"Alto"</formula>
    </cfRule>
    <cfRule type="cellIs" dxfId="1485" priority="1618" operator="equal">
      <formula>"Moderado"</formula>
    </cfRule>
    <cfRule type="cellIs" dxfId="1484" priority="1619" operator="equal">
      <formula>"Bajo"</formula>
    </cfRule>
  </conditionalFormatting>
  <conditionalFormatting sqref="O283">
    <cfRule type="cellIs" dxfId="1483" priority="1612" operator="equal">
      <formula>"Extremo"</formula>
    </cfRule>
    <cfRule type="cellIs" dxfId="1482" priority="1613" operator="equal">
      <formula>"Alto"</formula>
    </cfRule>
    <cfRule type="cellIs" dxfId="1481" priority="1614" operator="equal">
      <formula>"Moderado"</formula>
    </cfRule>
    <cfRule type="cellIs" dxfId="1480" priority="1615" operator="equal">
      <formula>"Bajo"</formula>
    </cfRule>
  </conditionalFormatting>
  <conditionalFormatting sqref="L277:L288">
    <cfRule type="containsText" dxfId="1479" priority="1611" operator="containsText" text="❌">
      <formula>NOT(ISERROR(SEARCH("❌",L277)))</formula>
    </cfRule>
  </conditionalFormatting>
  <conditionalFormatting sqref="Z283:Z288">
    <cfRule type="cellIs" dxfId="1478" priority="1606" operator="equal">
      <formula>"Muy Alta"</formula>
    </cfRule>
    <cfRule type="cellIs" dxfId="1477" priority="1607" operator="equal">
      <formula>"Alta"</formula>
    </cfRule>
    <cfRule type="cellIs" dxfId="1476" priority="1608" operator="equal">
      <formula>"Media"</formula>
    </cfRule>
    <cfRule type="cellIs" dxfId="1475" priority="1609" operator="equal">
      <formula>"Baja"</formula>
    </cfRule>
    <cfRule type="cellIs" dxfId="1474" priority="1610" operator="equal">
      <formula>"Muy Baja"</formula>
    </cfRule>
  </conditionalFormatting>
  <conditionalFormatting sqref="AB283:AB288">
    <cfRule type="cellIs" dxfId="1473" priority="1601" operator="equal">
      <formula>"Catastrófico"</formula>
    </cfRule>
    <cfRule type="cellIs" dxfId="1472" priority="1602" operator="equal">
      <formula>"Mayor"</formula>
    </cfRule>
    <cfRule type="cellIs" dxfId="1471" priority="1603" operator="equal">
      <formula>"Moderado"</formula>
    </cfRule>
    <cfRule type="cellIs" dxfId="1470" priority="1604" operator="equal">
      <formula>"Menor"</formula>
    </cfRule>
    <cfRule type="cellIs" dxfId="1469" priority="1605" operator="equal">
      <formula>"Leve"</formula>
    </cfRule>
  </conditionalFormatting>
  <conditionalFormatting sqref="AD283:AD288">
    <cfRule type="cellIs" dxfId="1468" priority="1597" operator="equal">
      <formula>"Extremo"</formula>
    </cfRule>
    <cfRule type="cellIs" dxfId="1467" priority="1598" operator="equal">
      <formula>"Alto"</formula>
    </cfRule>
    <cfRule type="cellIs" dxfId="1466" priority="1599" operator="equal">
      <formula>"Moderado"</formula>
    </cfRule>
    <cfRule type="cellIs" dxfId="1465" priority="1600" operator="equal">
      <formula>"Bajo"</formula>
    </cfRule>
  </conditionalFormatting>
  <conditionalFormatting sqref="I283">
    <cfRule type="cellIs" dxfId="1464" priority="1592" operator="equal">
      <formula>"Muy Alta"</formula>
    </cfRule>
    <cfRule type="cellIs" dxfId="1463" priority="1593" operator="equal">
      <formula>"Alta"</formula>
    </cfRule>
    <cfRule type="cellIs" dxfId="1462" priority="1594" operator="equal">
      <formula>"Media"</formula>
    </cfRule>
    <cfRule type="cellIs" dxfId="1461" priority="1595" operator="equal">
      <formula>"Baja"</formula>
    </cfRule>
    <cfRule type="cellIs" dxfId="1460" priority="1596" operator="equal">
      <formula>"Muy Baja"</formula>
    </cfRule>
  </conditionalFormatting>
  <conditionalFormatting sqref="I277">
    <cfRule type="cellIs" dxfId="1459" priority="1587" operator="equal">
      <formula>"Muy Alta"</formula>
    </cfRule>
    <cfRule type="cellIs" dxfId="1458" priority="1588" operator="equal">
      <formula>"Alta"</formula>
    </cfRule>
    <cfRule type="cellIs" dxfId="1457" priority="1589" operator="equal">
      <formula>"Media"</formula>
    </cfRule>
    <cfRule type="cellIs" dxfId="1456" priority="1590" operator="equal">
      <formula>"Baja"</formula>
    </cfRule>
    <cfRule type="cellIs" dxfId="1455" priority="1591" operator="equal">
      <formula>"Muy Baja"</formula>
    </cfRule>
  </conditionalFormatting>
  <conditionalFormatting sqref="Z277:Z282">
    <cfRule type="cellIs" dxfId="1454" priority="1582" operator="equal">
      <formula>"Muy Alta"</formula>
    </cfRule>
    <cfRule type="cellIs" dxfId="1453" priority="1583" operator="equal">
      <formula>"Alta"</formula>
    </cfRule>
    <cfRule type="cellIs" dxfId="1452" priority="1584" operator="equal">
      <formula>"Media"</formula>
    </cfRule>
    <cfRule type="cellIs" dxfId="1451" priority="1585" operator="equal">
      <formula>"Baja"</formula>
    </cfRule>
    <cfRule type="cellIs" dxfId="1450" priority="1586" operator="equal">
      <formula>"Muy Baja"</formula>
    </cfRule>
  </conditionalFormatting>
  <conditionalFormatting sqref="AB277:AB282">
    <cfRule type="cellIs" dxfId="1449" priority="1577" operator="equal">
      <formula>"Catastrófico"</formula>
    </cfRule>
    <cfRule type="cellIs" dxfId="1448" priority="1578" operator="equal">
      <formula>"Mayor"</formula>
    </cfRule>
    <cfRule type="cellIs" dxfId="1447" priority="1579" operator="equal">
      <formula>"Moderado"</formula>
    </cfRule>
    <cfRule type="cellIs" dxfId="1446" priority="1580" operator="equal">
      <formula>"Menor"</formula>
    </cfRule>
    <cfRule type="cellIs" dxfId="1445" priority="1581" operator="equal">
      <formula>"Leve"</formula>
    </cfRule>
  </conditionalFormatting>
  <conditionalFormatting sqref="AD277:AD282">
    <cfRule type="cellIs" dxfId="1444" priority="1573" operator="equal">
      <formula>"Extremo"</formula>
    </cfRule>
    <cfRule type="cellIs" dxfId="1443" priority="1574" operator="equal">
      <formula>"Alto"</formula>
    </cfRule>
    <cfRule type="cellIs" dxfId="1442" priority="1575" operator="equal">
      <formula>"Moderado"</formula>
    </cfRule>
    <cfRule type="cellIs" dxfId="1441" priority="1576" operator="equal">
      <formula>"Bajo"</formula>
    </cfRule>
  </conditionalFormatting>
  <conditionalFormatting sqref="M289 M295 M301 M307 M313">
    <cfRule type="cellIs" dxfId="1440" priority="1568" operator="equal">
      <formula>"Catastrófico"</formula>
    </cfRule>
    <cfRule type="cellIs" dxfId="1439" priority="1569" operator="equal">
      <formula>"Mayor"</formula>
    </cfRule>
    <cfRule type="cellIs" dxfId="1438" priority="1570" operator="equal">
      <formula>"Moderado"</formula>
    </cfRule>
    <cfRule type="cellIs" dxfId="1437" priority="1571" operator="equal">
      <formula>"Menor"</formula>
    </cfRule>
    <cfRule type="cellIs" dxfId="1436" priority="1572" operator="equal">
      <formula>"Leve"</formula>
    </cfRule>
  </conditionalFormatting>
  <conditionalFormatting sqref="O289">
    <cfRule type="cellIs" dxfId="1435" priority="1564" operator="equal">
      <formula>"Extremo"</formula>
    </cfRule>
    <cfRule type="cellIs" dxfId="1434" priority="1565" operator="equal">
      <formula>"Alto"</formula>
    </cfRule>
    <cfRule type="cellIs" dxfId="1433" priority="1566" operator="equal">
      <formula>"Moderado"</formula>
    </cfRule>
    <cfRule type="cellIs" dxfId="1432" priority="1567" operator="equal">
      <formula>"Bajo"</formula>
    </cfRule>
  </conditionalFormatting>
  <conditionalFormatting sqref="O295">
    <cfRule type="cellIs" dxfId="1431" priority="1560" operator="equal">
      <formula>"Extremo"</formula>
    </cfRule>
    <cfRule type="cellIs" dxfId="1430" priority="1561" operator="equal">
      <formula>"Alto"</formula>
    </cfRule>
    <cfRule type="cellIs" dxfId="1429" priority="1562" operator="equal">
      <formula>"Moderado"</formula>
    </cfRule>
    <cfRule type="cellIs" dxfId="1428" priority="1563" operator="equal">
      <formula>"Bajo"</formula>
    </cfRule>
  </conditionalFormatting>
  <conditionalFormatting sqref="O301">
    <cfRule type="cellIs" dxfId="1427" priority="1556" operator="equal">
      <formula>"Extremo"</formula>
    </cfRule>
    <cfRule type="cellIs" dxfId="1426" priority="1557" operator="equal">
      <formula>"Alto"</formula>
    </cfRule>
    <cfRule type="cellIs" dxfId="1425" priority="1558" operator="equal">
      <formula>"Moderado"</formula>
    </cfRule>
    <cfRule type="cellIs" dxfId="1424" priority="1559" operator="equal">
      <formula>"Bajo"</formula>
    </cfRule>
  </conditionalFormatting>
  <conditionalFormatting sqref="O307">
    <cfRule type="cellIs" dxfId="1423" priority="1552" operator="equal">
      <formula>"Extremo"</formula>
    </cfRule>
    <cfRule type="cellIs" dxfId="1422" priority="1553" operator="equal">
      <formula>"Alto"</formula>
    </cfRule>
    <cfRule type="cellIs" dxfId="1421" priority="1554" operator="equal">
      <formula>"Moderado"</formula>
    </cfRule>
    <cfRule type="cellIs" dxfId="1420" priority="1555" operator="equal">
      <formula>"Bajo"</formula>
    </cfRule>
  </conditionalFormatting>
  <conditionalFormatting sqref="O313">
    <cfRule type="cellIs" dxfId="1419" priority="1548" operator="equal">
      <formula>"Extremo"</formula>
    </cfRule>
    <cfRule type="cellIs" dxfId="1418" priority="1549" operator="equal">
      <formula>"Alto"</formula>
    </cfRule>
    <cfRule type="cellIs" dxfId="1417" priority="1550" operator="equal">
      <formula>"Moderado"</formula>
    </cfRule>
    <cfRule type="cellIs" dxfId="1416" priority="1551" operator="equal">
      <formula>"Bajo"</formula>
    </cfRule>
  </conditionalFormatting>
  <conditionalFormatting sqref="L289:L318">
    <cfRule type="containsText" dxfId="1415" priority="1547" operator="containsText" text="❌">
      <formula>NOT(ISERROR(SEARCH("❌",L289)))</formula>
    </cfRule>
  </conditionalFormatting>
  <conditionalFormatting sqref="Z295:Z300">
    <cfRule type="cellIs" dxfId="1414" priority="1542" operator="equal">
      <formula>"Muy Alta"</formula>
    </cfRule>
    <cfRule type="cellIs" dxfId="1413" priority="1543" operator="equal">
      <formula>"Alta"</formula>
    </cfRule>
    <cfRule type="cellIs" dxfId="1412" priority="1544" operator="equal">
      <formula>"Media"</formula>
    </cfRule>
    <cfRule type="cellIs" dxfId="1411" priority="1545" operator="equal">
      <formula>"Baja"</formula>
    </cfRule>
    <cfRule type="cellIs" dxfId="1410" priority="1546" operator="equal">
      <formula>"Muy Baja"</formula>
    </cfRule>
  </conditionalFormatting>
  <conditionalFormatting sqref="AB295:AB300">
    <cfRule type="cellIs" dxfId="1409" priority="1537" operator="equal">
      <formula>"Catastrófico"</formula>
    </cfRule>
    <cfRule type="cellIs" dxfId="1408" priority="1538" operator="equal">
      <formula>"Mayor"</formula>
    </cfRule>
    <cfRule type="cellIs" dxfId="1407" priority="1539" operator="equal">
      <formula>"Moderado"</formula>
    </cfRule>
    <cfRule type="cellIs" dxfId="1406" priority="1540" operator="equal">
      <formula>"Menor"</formula>
    </cfRule>
    <cfRule type="cellIs" dxfId="1405" priority="1541" operator="equal">
      <formula>"Leve"</formula>
    </cfRule>
  </conditionalFormatting>
  <conditionalFormatting sqref="AD295:AD300">
    <cfRule type="cellIs" dxfId="1404" priority="1533" operator="equal">
      <formula>"Extremo"</formula>
    </cfRule>
    <cfRule type="cellIs" dxfId="1403" priority="1534" operator="equal">
      <formula>"Alto"</formula>
    </cfRule>
    <cfRule type="cellIs" dxfId="1402" priority="1535" operator="equal">
      <formula>"Moderado"</formula>
    </cfRule>
    <cfRule type="cellIs" dxfId="1401" priority="1536" operator="equal">
      <formula>"Bajo"</formula>
    </cfRule>
  </conditionalFormatting>
  <conditionalFormatting sqref="I295">
    <cfRule type="cellIs" dxfId="1400" priority="1528" operator="equal">
      <formula>"Muy Alta"</formula>
    </cfRule>
    <cfRule type="cellIs" dxfId="1399" priority="1529" operator="equal">
      <formula>"Alta"</formula>
    </cfRule>
    <cfRule type="cellIs" dxfId="1398" priority="1530" operator="equal">
      <formula>"Media"</formula>
    </cfRule>
    <cfRule type="cellIs" dxfId="1397" priority="1531" operator="equal">
      <formula>"Baja"</formula>
    </cfRule>
    <cfRule type="cellIs" dxfId="1396" priority="1532" operator="equal">
      <formula>"Muy Baja"</formula>
    </cfRule>
  </conditionalFormatting>
  <conditionalFormatting sqref="I301">
    <cfRule type="cellIs" dxfId="1395" priority="1523" operator="equal">
      <formula>"Muy Alta"</formula>
    </cfRule>
    <cfRule type="cellIs" dxfId="1394" priority="1524" operator="equal">
      <formula>"Alta"</formula>
    </cfRule>
    <cfRule type="cellIs" dxfId="1393" priority="1525" operator="equal">
      <formula>"Media"</formula>
    </cfRule>
    <cfRule type="cellIs" dxfId="1392" priority="1526" operator="equal">
      <formula>"Baja"</formula>
    </cfRule>
    <cfRule type="cellIs" dxfId="1391" priority="1527" operator="equal">
      <formula>"Muy Baja"</formula>
    </cfRule>
  </conditionalFormatting>
  <conditionalFormatting sqref="I307">
    <cfRule type="cellIs" dxfId="1390" priority="1518" operator="equal">
      <formula>"Muy Alta"</formula>
    </cfRule>
    <cfRule type="cellIs" dxfId="1389" priority="1519" operator="equal">
      <formula>"Alta"</formula>
    </cfRule>
    <cfRule type="cellIs" dxfId="1388" priority="1520" operator="equal">
      <formula>"Media"</formula>
    </cfRule>
    <cfRule type="cellIs" dxfId="1387" priority="1521" operator="equal">
      <formula>"Baja"</formula>
    </cfRule>
    <cfRule type="cellIs" dxfId="1386" priority="1522" operator="equal">
      <formula>"Muy Baja"</formula>
    </cfRule>
  </conditionalFormatting>
  <conditionalFormatting sqref="I313">
    <cfRule type="cellIs" dxfId="1385" priority="1513" operator="equal">
      <formula>"Muy Alta"</formula>
    </cfRule>
    <cfRule type="cellIs" dxfId="1384" priority="1514" operator="equal">
      <formula>"Alta"</formula>
    </cfRule>
    <cfRule type="cellIs" dxfId="1383" priority="1515" operator="equal">
      <formula>"Media"</formula>
    </cfRule>
    <cfRule type="cellIs" dxfId="1382" priority="1516" operator="equal">
      <formula>"Baja"</formula>
    </cfRule>
    <cfRule type="cellIs" dxfId="1381" priority="1517" operator="equal">
      <formula>"Muy Baja"</formula>
    </cfRule>
  </conditionalFormatting>
  <conditionalFormatting sqref="I289">
    <cfRule type="cellIs" dxfId="1380" priority="1508" operator="equal">
      <formula>"Muy Alta"</formula>
    </cfRule>
    <cfRule type="cellIs" dxfId="1379" priority="1509" operator="equal">
      <formula>"Alta"</formula>
    </cfRule>
    <cfRule type="cellIs" dxfId="1378" priority="1510" operator="equal">
      <formula>"Media"</formula>
    </cfRule>
    <cfRule type="cellIs" dxfId="1377" priority="1511" operator="equal">
      <formula>"Baja"</formula>
    </cfRule>
    <cfRule type="cellIs" dxfId="1376" priority="1512" operator="equal">
      <formula>"Muy Baja"</formula>
    </cfRule>
  </conditionalFormatting>
  <conditionalFormatting sqref="Z289:Z294">
    <cfRule type="cellIs" dxfId="1375" priority="1503" operator="equal">
      <formula>"Muy Alta"</formula>
    </cfRule>
    <cfRule type="cellIs" dxfId="1374" priority="1504" operator="equal">
      <formula>"Alta"</formula>
    </cfRule>
    <cfRule type="cellIs" dxfId="1373" priority="1505" operator="equal">
      <formula>"Media"</formula>
    </cfRule>
    <cfRule type="cellIs" dxfId="1372" priority="1506" operator="equal">
      <formula>"Baja"</formula>
    </cfRule>
    <cfRule type="cellIs" dxfId="1371" priority="1507" operator="equal">
      <formula>"Muy Baja"</formula>
    </cfRule>
  </conditionalFormatting>
  <conditionalFormatting sqref="AB289:AB294">
    <cfRule type="cellIs" dxfId="1370" priority="1498" operator="equal">
      <formula>"Catastrófico"</formula>
    </cfRule>
    <cfRule type="cellIs" dxfId="1369" priority="1499" operator="equal">
      <formula>"Mayor"</formula>
    </cfRule>
    <cfRule type="cellIs" dxfId="1368" priority="1500" operator="equal">
      <formula>"Moderado"</formula>
    </cfRule>
    <cfRule type="cellIs" dxfId="1367" priority="1501" operator="equal">
      <formula>"Menor"</formula>
    </cfRule>
    <cfRule type="cellIs" dxfId="1366" priority="1502" operator="equal">
      <formula>"Leve"</formula>
    </cfRule>
  </conditionalFormatting>
  <conditionalFormatting sqref="AD289:AD294">
    <cfRule type="cellIs" dxfId="1365" priority="1494" operator="equal">
      <formula>"Extremo"</formula>
    </cfRule>
    <cfRule type="cellIs" dxfId="1364" priority="1495" operator="equal">
      <formula>"Alto"</formula>
    </cfRule>
    <cfRule type="cellIs" dxfId="1363" priority="1496" operator="equal">
      <formula>"Moderado"</formula>
    </cfRule>
    <cfRule type="cellIs" dxfId="1362" priority="1497" operator="equal">
      <formula>"Bajo"</formula>
    </cfRule>
  </conditionalFormatting>
  <conditionalFormatting sqref="Z301:Z306">
    <cfRule type="cellIs" dxfId="1361" priority="1489" operator="equal">
      <formula>"Muy Alta"</formula>
    </cfRule>
    <cfRule type="cellIs" dxfId="1360" priority="1490" operator="equal">
      <formula>"Alta"</formula>
    </cfRule>
    <cfRule type="cellIs" dxfId="1359" priority="1491" operator="equal">
      <formula>"Media"</formula>
    </cfRule>
    <cfRule type="cellIs" dxfId="1358" priority="1492" operator="equal">
      <formula>"Baja"</formula>
    </cfRule>
    <cfRule type="cellIs" dxfId="1357" priority="1493" operator="equal">
      <formula>"Muy Baja"</formula>
    </cfRule>
  </conditionalFormatting>
  <conditionalFormatting sqref="AB301:AB306">
    <cfRule type="cellIs" dxfId="1356" priority="1484" operator="equal">
      <formula>"Catastrófico"</formula>
    </cfRule>
    <cfRule type="cellIs" dxfId="1355" priority="1485" operator="equal">
      <formula>"Mayor"</formula>
    </cfRule>
    <cfRule type="cellIs" dxfId="1354" priority="1486" operator="equal">
      <formula>"Moderado"</formula>
    </cfRule>
    <cfRule type="cellIs" dxfId="1353" priority="1487" operator="equal">
      <formula>"Menor"</formula>
    </cfRule>
    <cfRule type="cellIs" dxfId="1352" priority="1488" operator="equal">
      <formula>"Leve"</formula>
    </cfRule>
  </conditionalFormatting>
  <conditionalFormatting sqref="AD301:AD306">
    <cfRule type="cellIs" dxfId="1351" priority="1480" operator="equal">
      <formula>"Extremo"</formula>
    </cfRule>
    <cfRule type="cellIs" dxfId="1350" priority="1481" operator="equal">
      <formula>"Alto"</formula>
    </cfRule>
    <cfRule type="cellIs" dxfId="1349" priority="1482" operator="equal">
      <formula>"Moderado"</formula>
    </cfRule>
    <cfRule type="cellIs" dxfId="1348" priority="1483" operator="equal">
      <formula>"Bajo"</formula>
    </cfRule>
  </conditionalFormatting>
  <conditionalFormatting sqref="Z307:Z312">
    <cfRule type="cellIs" dxfId="1347" priority="1475" operator="equal">
      <formula>"Muy Alta"</formula>
    </cfRule>
    <cfRule type="cellIs" dxfId="1346" priority="1476" operator="equal">
      <formula>"Alta"</formula>
    </cfRule>
    <cfRule type="cellIs" dxfId="1345" priority="1477" operator="equal">
      <formula>"Media"</formula>
    </cfRule>
    <cfRule type="cellIs" dxfId="1344" priority="1478" operator="equal">
      <formula>"Baja"</formula>
    </cfRule>
    <cfRule type="cellIs" dxfId="1343" priority="1479" operator="equal">
      <formula>"Muy Baja"</formula>
    </cfRule>
  </conditionalFormatting>
  <conditionalFormatting sqref="AB307:AB312">
    <cfRule type="cellIs" dxfId="1342" priority="1470" operator="equal">
      <formula>"Catastrófico"</formula>
    </cfRule>
    <cfRule type="cellIs" dxfId="1341" priority="1471" operator="equal">
      <formula>"Mayor"</formula>
    </cfRule>
    <cfRule type="cellIs" dxfId="1340" priority="1472" operator="equal">
      <formula>"Moderado"</formula>
    </cfRule>
    <cfRule type="cellIs" dxfId="1339" priority="1473" operator="equal">
      <formula>"Menor"</formula>
    </cfRule>
    <cfRule type="cellIs" dxfId="1338" priority="1474" operator="equal">
      <formula>"Leve"</formula>
    </cfRule>
  </conditionalFormatting>
  <conditionalFormatting sqref="AD307:AD312">
    <cfRule type="cellIs" dxfId="1337" priority="1466" operator="equal">
      <formula>"Extremo"</formula>
    </cfRule>
    <cfRule type="cellIs" dxfId="1336" priority="1467" operator="equal">
      <formula>"Alto"</formula>
    </cfRule>
    <cfRule type="cellIs" dxfId="1335" priority="1468" operator="equal">
      <formula>"Moderado"</formula>
    </cfRule>
    <cfRule type="cellIs" dxfId="1334" priority="1469" operator="equal">
      <formula>"Bajo"</formula>
    </cfRule>
  </conditionalFormatting>
  <conditionalFormatting sqref="Z313:Z318">
    <cfRule type="cellIs" dxfId="1333" priority="1461" operator="equal">
      <formula>"Muy Alta"</formula>
    </cfRule>
    <cfRule type="cellIs" dxfId="1332" priority="1462" operator="equal">
      <formula>"Alta"</formula>
    </cfRule>
    <cfRule type="cellIs" dxfId="1331" priority="1463" operator="equal">
      <formula>"Media"</formula>
    </cfRule>
    <cfRule type="cellIs" dxfId="1330" priority="1464" operator="equal">
      <formula>"Baja"</formula>
    </cfRule>
    <cfRule type="cellIs" dxfId="1329" priority="1465" operator="equal">
      <formula>"Muy Baja"</formula>
    </cfRule>
  </conditionalFormatting>
  <conditionalFormatting sqref="AB313:AB318">
    <cfRule type="cellIs" dxfId="1328" priority="1456" operator="equal">
      <formula>"Catastrófico"</formula>
    </cfRule>
    <cfRule type="cellIs" dxfId="1327" priority="1457" operator="equal">
      <formula>"Mayor"</formula>
    </cfRule>
    <cfRule type="cellIs" dxfId="1326" priority="1458" operator="equal">
      <formula>"Moderado"</formula>
    </cfRule>
    <cfRule type="cellIs" dxfId="1325" priority="1459" operator="equal">
      <formula>"Menor"</formula>
    </cfRule>
    <cfRule type="cellIs" dxfId="1324" priority="1460" operator="equal">
      <formula>"Leve"</formula>
    </cfRule>
  </conditionalFormatting>
  <conditionalFormatting sqref="AD313:AD318">
    <cfRule type="cellIs" dxfId="1323" priority="1452" operator="equal">
      <formula>"Extremo"</formula>
    </cfRule>
    <cfRule type="cellIs" dxfId="1322" priority="1453" operator="equal">
      <formula>"Alto"</formula>
    </cfRule>
    <cfRule type="cellIs" dxfId="1321" priority="1454" operator="equal">
      <formula>"Moderado"</formula>
    </cfRule>
    <cfRule type="cellIs" dxfId="1320" priority="1455" operator="equal">
      <formula>"Bajo"</formula>
    </cfRule>
  </conditionalFormatting>
  <conditionalFormatting sqref="M319 M325">
    <cfRule type="cellIs" dxfId="1319" priority="1447" operator="equal">
      <formula>"Catastrófico"</formula>
    </cfRule>
    <cfRule type="cellIs" dxfId="1318" priority="1448" operator="equal">
      <formula>"Mayor"</formula>
    </cfRule>
    <cfRule type="cellIs" dxfId="1317" priority="1449" operator="equal">
      <formula>"Moderado"</formula>
    </cfRule>
    <cfRule type="cellIs" dxfId="1316" priority="1450" operator="equal">
      <formula>"Menor"</formula>
    </cfRule>
    <cfRule type="cellIs" dxfId="1315" priority="1451" operator="equal">
      <formula>"Leve"</formula>
    </cfRule>
  </conditionalFormatting>
  <conditionalFormatting sqref="O319">
    <cfRule type="cellIs" dxfId="1314" priority="1443" operator="equal">
      <formula>"Extremo"</formula>
    </cfRule>
    <cfRule type="cellIs" dxfId="1313" priority="1444" operator="equal">
      <formula>"Alto"</formula>
    </cfRule>
    <cfRule type="cellIs" dxfId="1312" priority="1445" operator="equal">
      <formula>"Moderado"</formula>
    </cfRule>
    <cfRule type="cellIs" dxfId="1311" priority="1446" operator="equal">
      <formula>"Bajo"</formula>
    </cfRule>
  </conditionalFormatting>
  <conditionalFormatting sqref="Z319:Z324">
    <cfRule type="cellIs" dxfId="1310" priority="1438" operator="equal">
      <formula>"Muy Alta"</formula>
    </cfRule>
    <cfRule type="cellIs" dxfId="1309" priority="1439" operator="equal">
      <formula>"Alta"</formula>
    </cfRule>
    <cfRule type="cellIs" dxfId="1308" priority="1440" operator="equal">
      <formula>"Media"</formula>
    </cfRule>
    <cfRule type="cellIs" dxfId="1307" priority="1441" operator="equal">
      <formula>"Baja"</formula>
    </cfRule>
    <cfRule type="cellIs" dxfId="1306" priority="1442" operator="equal">
      <formula>"Muy Baja"</formula>
    </cfRule>
  </conditionalFormatting>
  <conditionalFormatting sqref="AB319:AB324">
    <cfRule type="cellIs" dxfId="1305" priority="1433" operator="equal">
      <formula>"Catastrófico"</formula>
    </cfRule>
    <cfRule type="cellIs" dxfId="1304" priority="1434" operator="equal">
      <formula>"Mayor"</formula>
    </cfRule>
    <cfRule type="cellIs" dxfId="1303" priority="1435" operator="equal">
      <formula>"Moderado"</formula>
    </cfRule>
    <cfRule type="cellIs" dxfId="1302" priority="1436" operator="equal">
      <formula>"Menor"</formula>
    </cfRule>
    <cfRule type="cellIs" dxfId="1301" priority="1437" operator="equal">
      <formula>"Leve"</formula>
    </cfRule>
  </conditionalFormatting>
  <conditionalFormatting sqref="AD319:AD324">
    <cfRule type="cellIs" dxfId="1300" priority="1429" operator="equal">
      <formula>"Extremo"</formula>
    </cfRule>
    <cfRule type="cellIs" dxfId="1299" priority="1430" operator="equal">
      <formula>"Alto"</formula>
    </cfRule>
    <cfRule type="cellIs" dxfId="1298" priority="1431" operator="equal">
      <formula>"Moderado"</formula>
    </cfRule>
    <cfRule type="cellIs" dxfId="1297" priority="1432" operator="equal">
      <formula>"Bajo"</formula>
    </cfRule>
  </conditionalFormatting>
  <conditionalFormatting sqref="O325">
    <cfRule type="cellIs" dxfId="1296" priority="1425" operator="equal">
      <formula>"Extremo"</formula>
    </cfRule>
    <cfRule type="cellIs" dxfId="1295" priority="1426" operator="equal">
      <formula>"Alto"</formula>
    </cfRule>
    <cfRule type="cellIs" dxfId="1294" priority="1427" operator="equal">
      <formula>"Moderado"</formula>
    </cfRule>
    <cfRule type="cellIs" dxfId="1293" priority="1428" operator="equal">
      <formula>"Bajo"</formula>
    </cfRule>
  </conditionalFormatting>
  <conditionalFormatting sqref="L319:L330">
    <cfRule type="containsText" dxfId="1292" priority="1424" operator="containsText" text="❌">
      <formula>NOT(ISERROR(SEARCH("❌",L319)))</formula>
    </cfRule>
  </conditionalFormatting>
  <conditionalFormatting sqref="Z325:Z330">
    <cfRule type="cellIs" dxfId="1291" priority="1419" operator="equal">
      <formula>"Muy Alta"</formula>
    </cfRule>
    <cfRule type="cellIs" dxfId="1290" priority="1420" operator="equal">
      <formula>"Alta"</formula>
    </cfRule>
    <cfRule type="cellIs" dxfId="1289" priority="1421" operator="equal">
      <formula>"Media"</formula>
    </cfRule>
    <cfRule type="cellIs" dxfId="1288" priority="1422" operator="equal">
      <formula>"Baja"</formula>
    </cfRule>
    <cfRule type="cellIs" dxfId="1287" priority="1423" operator="equal">
      <formula>"Muy Baja"</formula>
    </cfRule>
  </conditionalFormatting>
  <conditionalFormatting sqref="AB325:AB330">
    <cfRule type="cellIs" dxfId="1286" priority="1414" operator="equal">
      <formula>"Catastrófico"</formula>
    </cfRule>
    <cfRule type="cellIs" dxfId="1285" priority="1415" operator="equal">
      <formula>"Mayor"</formula>
    </cfRule>
    <cfRule type="cellIs" dxfId="1284" priority="1416" operator="equal">
      <formula>"Moderado"</formula>
    </cfRule>
    <cfRule type="cellIs" dxfId="1283" priority="1417" operator="equal">
      <formula>"Menor"</formula>
    </cfRule>
    <cfRule type="cellIs" dxfId="1282" priority="1418" operator="equal">
      <formula>"Leve"</formula>
    </cfRule>
  </conditionalFormatting>
  <conditionalFormatting sqref="AD325:AD330">
    <cfRule type="cellIs" dxfId="1281" priority="1410" operator="equal">
      <formula>"Extremo"</formula>
    </cfRule>
    <cfRule type="cellIs" dxfId="1280" priority="1411" operator="equal">
      <formula>"Alto"</formula>
    </cfRule>
    <cfRule type="cellIs" dxfId="1279" priority="1412" operator="equal">
      <formula>"Moderado"</formula>
    </cfRule>
    <cfRule type="cellIs" dxfId="1278" priority="1413" operator="equal">
      <formula>"Bajo"</formula>
    </cfRule>
  </conditionalFormatting>
  <conditionalFormatting sqref="I325">
    <cfRule type="cellIs" dxfId="1277" priority="1405" operator="equal">
      <formula>"Muy Alta"</formula>
    </cfRule>
    <cfRule type="cellIs" dxfId="1276" priority="1406" operator="equal">
      <formula>"Alta"</formula>
    </cfRule>
    <cfRule type="cellIs" dxfId="1275" priority="1407" operator="equal">
      <formula>"Media"</formula>
    </cfRule>
    <cfRule type="cellIs" dxfId="1274" priority="1408" operator="equal">
      <formula>"Baja"</formula>
    </cfRule>
    <cfRule type="cellIs" dxfId="1273" priority="1409" operator="equal">
      <formula>"Muy Baja"</formula>
    </cfRule>
  </conditionalFormatting>
  <conditionalFormatting sqref="I319">
    <cfRule type="cellIs" dxfId="1272" priority="1400" operator="equal">
      <formula>"Muy Alta"</formula>
    </cfRule>
    <cfRule type="cellIs" dxfId="1271" priority="1401" operator="equal">
      <formula>"Alta"</formula>
    </cfRule>
    <cfRule type="cellIs" dxfId="1270" priority="1402" operator="equal">
      <formula>"Media"</formula>
    </cfRule>
    <cfRule type="cellIs" dxfId="1269" priority="1403" operator="equal">
      <formula>"Baja"</formula>
    </cfRule>
    <cfRule type="cellIs" dxfId="1268" priority="1404" operator="equal">
      <formula>"Muy Baja"</formula>
    </cfRule>
  </conditionalFormatting>
  <conditionalFormatting sqref="M331">
    <cfRule type="cellIs" dxfId="1267" priority="1366" operator="equal">
      <formula>"Catastrófico"</formula>
    </cfRule>
    <cfRule type="cellIs" dxfId="1266" priority="1367" operator="equal">
      <formula>"Mayor"</formula>
    </cfRule>
    <cfRule type="cellIs" dxfId="1265" priority="1368" operator="equal">
      <formula>"Moderado"</formula>
    </cfRule>
    <cfRule type="cellIs" dxfId="1264" priority="1369" operator="equal">
      <formula>"Menor"</formula>
    </cfRule>
    <cfRule type="cellIs" dxfId="1263" priority="1370" operator="equal">
      <formula>"Leve"</formula>
    </cfRule>
  </conditionalFormatting>
  <conditionalFormatting sqref="O331">
    <cfRule type="cellIs" dxfId="1262" priority="1362" operator="equal">
      <formula>"Extremo"</formula>
    </cfRule>
    <cfRule type="cellIs" dxfId="1261" priority="1363" operator="equal">
      <formula>"Alto"</formula>
    </cfRule>
    <cfRule type="cellIs" dxfId="1260" priority="1364" operator="equal">
      <formula>"Moderado"</formula>
    </cfRule>
    <cfRule type="cellIs" dxfId="1259" priority="1365" operator="equal">
      <formula>"Bajo"</formula>
    </cfRule>
  </conditionalFormatting>
  <conditionalFormatting sqref="L331:L336">
    <cfRule type="containsText" dxfId="1258" priority="1361" operator="containsText" text="❌">
      <formula>NOT(ISERROR(SEARCH("❌",L331)))</formula>
    </cfRule>
  </conditionalFormatting>
  <conditionalFormatting sqref="I331">
    <cfRule type="cellIs" dxfId="1257" priority="1356" operator="equal">
      <formula>"Muy Alta"</formula>
    </cfRule>
    <cfRule type="cellIs" dxfId="1256" priority="1357" operator="equal">
      <formula>"Alta"</formula>
    </cfRule>
    <cfRule type="cellIs" dxfId="1255" priority="1358" operator="equal">
      <formula>"Media"</formula>
    </cfRule>
    <cfRule type="cellIs" dxfId="1254" priority="1359" operator="equal">
      <formula>"Baja"</formula>
    </cfRule>
    <cfRule type="cellIs" dxfId="1253" priority="1360" operator="equal">
      <formula>"Muy Baja"</formula>
    </cfRule>
  </conditionalFormatting>
  <conditionalFormatting sqref="Z331:Z336">
    <cfRule type="cellIs" dxfId="1252" priority="1351" operator="equal">
      <formula>"Muy Alta"</formula>
    </cfRule>
    <cfRule type="cellIs" dxfId="1251" priority="1352" operator="equal">
      <formula>"Alta"</formula>
    </cfRule>
    <cfRule type="cellIs" dxfId="1250" priority="1353" operator="equal">
      <formula>"Media"</formula>
    </cfRule>
    <cfRule type="cellIs" dxfId="1249" priority="1354" operator="equal">
      <formula>"Baja"</formula>
    </cfRule>
    <cfRule type="cellIs" dxfId="1248" priority="1355" operator="equal">
      <formula>"Muy Baja"</formula>
    </cfRule>
  </conditionalFormatting>
  <conditionalFormatting sqref="AB331:AB336">
    <cfRule type="cellIs" dxfId="1247" priority="1346" operator="equal">
      <formula>"Catastrófico"</formula>
    </cfRule>
    <cfRule type="cellIs" dxfId="1246" priority="1347" operator="equal">
      <formula>"Mayor"</formula>
    </cfRule>
    <cfRule type="cellIs" dxfId="1245" priority="1348" operator="equal">
      <formula>"Moderado"</formula>
    </cfRule>
    <cfRule type="cellIs" dxfId="1244" priority="1349" operator="equal">
      <formula>"Menor"</formula>
    </cfRule>
    <cfRule type="cellIs" dxfId="1243" priority="1350" operator="equal">
      <formula>"Leve"</formula>
    </cfRule>
  </conditionalFormatting>
  <conditionalFormatting sqref="AD331:AD336">
    <cfRule type="cellIs" dxfId="1242" priority="1342" operator="equal">
      <formula>"Extremo"</formula>
    </cfRule>
    <cfRule type="cellIs" dxfId="1241" priority="1343" operator="equal">
      <formula>"Alto"</formula>
    </cfRule>
    <cfRule type="cellIs" dxfId="1240" priority="1344" operator="equal">
      <formula>"Moderado"</formula>
    </cfRule>
    <cfRule type="cellIs" dxfId="1239" priority="1345" operator="equal">
      <formula>"Bajo"</formula>
    </cfRule>
  </conditionalFormatting>
  <conditionalFormatting sqref="M337 M343 M349 M355">
    <cfRule type="cellIs" dxfId="1238" priority="1337" operator="equal">
      <formula>"Catastrófico"</formula>
    </cfRule>
    <cfRule type="cellIs" dxfId="1237" priority="1338" operator="equal">
      <formula>"Mayor"</formula>
    </cfRule>
    <cfRule type="cellIs" dxfId="1236" priority="1339" operator="equal">
      <formula>"Moderado"</formula>
    </cfRule>
    <cfRule type="cellIs" dxfId="1235" priority="1340" operator="equal">
      <formula>"Menor"</formula>
    </cfRule>
    <cfRule type="cellIs" dxfId="1234" priority="1341" operator="equal">
      <formula>"Leve"</formula>
    </cfRule>
  </conditionalFormatting>
  <conditionalFormatting sqref="O337">
    <cfRule type="cellIs" dxfId="1233" priority="1333" operator="equal">
      <formula>"Extremo"</formula>
    </cfRule>
    <cfRule type="cellIs" dxfId="1232" priority="1334" operator="equal">
      <formula>"Alto"</formula>
    </cfRule>
    <cfRule type="cellIs" dxfId="1231" priority="1335" operator="equal">
      <formula>"Moderado"</formula>
    </cfRule>
    <cfRule type="cellIs" dxfId="1230" priority="1336" operator="equal">
      <formula>"Bajo"</formula>
    </cfRule>
  </conditionalFormatting>
  <conditionalFormatting sqref="O343">
    <cfRule type="cellIs" dxfId="1229" priority="1329" operator="equal">
      <formula>"Extremo"</formula>
    </cfRule>
    <cfRule type="cellIs" dxfId="1228" priority="1330" operator="equal">
      <formula>"Alto"</formula>
    </cfRule>
    <cfRule type="cellIs" dxfId="1227" priority="1331" operator="equal">
      <formula>"Moderado"</formula>
    </cfRule>
    <cfRule type="cellIs" dxfId="1226" priority="1332" operator="equal">
      <formula>"Bajo"</formula>
    </cfRule>
  </conditionalFormatting>
  <conditionalFormatting sqref="O349">
    <cfRule type="cellIs" dxfId="1225" priority="1325" operator="equal">
      <formula>"Extremo"</formula>
    </cfRule>
    <cfRule type="cellIs" dxfId="1224" priority="1326" operator="equal">
      <formula>"Alto"</formula>
    </cfRule>
    <cfRule type="cellIs" dxfId="1223" priority="1327" operator="equal">
      <formula>"Moderado"</formula>
    </cfRule>
    <cfRule type="cellIs" dxfId="1222" priority="1328" operator="equal">
      <formula>"Bajo"</formula>
    </cfRule>
  </conditionalFormatting>
  <conditionalFormatting sqref="O355">
    <cfRule type="cellIs" dxfId="1221" priority="1321" operator="equal">
      <formula>"Extremo"</formula>
    </cfRule>
    <cfRule type="cellIs" dxfId="1220" priority="1322" operator="equal">
      <formula>"Alto"</formula>
    </cfRule>
    <cfRule type="cellIs" dxfId="1219" priority="1323" operator="equal">
      <formula>"Moderado"</formula>
    </cfRule>
    <cfRule type="cellIs" dxfId="1218" priority="1324" operator="equal">
      <formula>"Bajo"</formula>
    </cfRule>
  </conditionalFormatting>
  <conditionalFormatting sqref="L337:L360">
    <cfRule type="containsText" dxfId="1217" priority="1320" operator="containsText" text="❌">
      <formula>NOT(ISERROR(SEARCH("❌",L337)))</formula>
    </cfRule>
  </conditionalFormatting>
  <conditionalFormatting sqref="Z337:Z342">
    <cfRule type="cellIs" dxfId="1216" priority="1315" operator="equal">
      <formula>"Muy Alta"</formula>
    </cfRule>
    <cfRule type="cellIs" dxfId="1215" priority="1316" operator="equal">
      <formula>"Alta"</formula>
    </cfRule>
    <cfRule type="cellIs" dxfId="1214" priority="1317" operator="equal">
      <formula>"Media"</formula>
    </cfRule>
    <cfRule type="cellIs" dxfId="1213" priority="1318" operator="equal">
      <formula>"Baja"</formula>
    </cfRule>
    <cfRule type="cellIs" dxfId="1212" priority="1319" operator="equal">
      <formula>"Muy Baja"</formula>
    </cfRule>
  </conditionalFormatting>
  <conditionalFormatting sqref="AB337:AB342">
    <cfRule type="cellIs" dxfId="1211" priority="1310" operator="equal">
      <formula>"Catastrófico"</formula>
    </cfRule>
    <cfRule type="cellIs" dxfId="1210" priority="1311" operator="equal">
      <formula>"Mayor"</formula>
    </cfRule>
    <cfRule type="cellIs" dxfId="1209" priority="1312" operator="equal">
      <formula>"Moderado"</formula>
    </cfRule>
    <cfRule type="cellIs" dxfId="1208" priority="1313" operator="equal">
      <formula>"Menor"</formula>
    </cfRule>
    <cfRule type="cellIs" dxfId="1207" priority="1314" operator="equal">
      <formula>"Leve"</formula>
    </cfRule>
  </conditionalFormatting>
  <conditionalFormatting sqref="AD337:AD342">
    <cfRule type="cellIs" dxfId="1206" priority="1306" operator="equal">
      <formula>"Extremo"</formula>
    </cfRule>
    <cfRule type="cellIs" dxfId="1205" priority="1307" operator="equal">
      <formula>"Alto"</formula>
    </cfRule>
    <cfRule type="cellIs" dxfId="1204" priority="1308" operator="equal">
      <formula>"Moderado"</formula>
    </cfRule>
    <cfRule type="cellIs" dxfId="1203" priority="1309" operator="equal">
      <formula>"Bajo"</formula>
    </cfRule>
  </conditionalFormatting>
  <conditionalFormatting sqref="I337">
    <cfRule type="cellIs" dxfId="1202" priority="1301" operator="equal">
      <formula>"Muy Alta"</formula>
    </cfRule>
    <cfRule type="cellIs" dxfId="1201" priority="1302" operator="equal">
      <formula>"Alta"</formula>
    </cfRule>
    <cfRule type="cellIs" dxfId="1200" priority="1303" operator="equal">
      <formula>"Media"</formula>
    </cfRule>
    <cfRule type="cellIs" dxfId="1199" priority="1304" operator="equal">
      <formula>"Baja"</formula>
    </cfRule>
    <cfRule type="cellIs" dxfId="1198" priority="1305" operator="equal">
      <formula>"Muy Baja"</formula>
    </cfRule>
  </conditionalFormatting>
  <conditionalFormatting sqref="I343">
    <cfRule type="cellIs" dxfId="1197" priority="1296" operator="equal">
      <formula>"Muy Alta"</formula>
    </cfRule>
    <cfRule type="cellIs" dxfId="1196" priority="1297" operator="equal">
      <formula>"Alta"</formula>
    </cfRule>
    <cfRule type="cellIs" dxfId="1195" priority="1298" operator="equal">
      <formula>"Media"</formula>
    </cfRule>
    <cfRule type="cellIs" dxfId="1194" priority="1299" operator="equal">
      <formula>"Baja"</formula>
    </cfRule>
    <cfRule type="cellIs" dxfId="1193" priority="1300" operator="equal">
      <formula>"Muy Baja"</formula>
    </cfRule>
  </conditionalFormatting>
  <conditionalFormatting sqref="I349">
    <cfRule type="cellIs" dxfId="1192" priority="1291" operator="equal">
      <formula>"Muy Alta"</formula>
    </cfRule>
    <cfRule type="cellIs" dxfId="1191" priority="1292" operator="equal">
      <formula>"Alta"</formula>
    </cfRule>
    <cfRule type="cellIs" dxfId="1190" priority="1293" operator="equal">
      <formula>"Media"</formula>
    </cfRule>
    <cfRule type="cellIs" dxfId="1189" priority="1294" operator="equal">
      <formula>"Baja"</formula>
    </cfRule>
    <cfRule type="cellIs" dxfId="1188" priority="1295" operator="equal">
      <formula>"Muy Baja"</formula>
    </cfRule>
  </conditionalFormatting>
  <conditionalFormatting sqref="I355">
    <cfRule type="cellIs" dxfId="1187" priority="1286" operator="equal">
      <formula>"Muy Alta"</formula>
    </cfRule>
    <cfRule type="cellIs" dxfId="1186" priority="1287" operator="equal">
      <formula>"Alta"</formula>
    </cfRule>
    <cfRule type="cellIs" dxfId="1185" priority="1288" operator="equal">
      <formula>"Media"</formula>
    </cfRule>
    <cfRule type="cellIs" dxfId="1184" priority="1289" operator="equal">
      <formula>"Baja"</formula>
    </cfRule>
    <cfRule type="cellIs" dxfId="1183" priority="1290" operator="equal">
      <formula>"Muy Baja"</formula>
    </cfRule>
  </conditionalFormatting>
  <conditionalFormatting sqref="Z343:Z348">
    <cfRule type="cellIs" dxfId="1182" priority="1281" operator="equal">
      <formula>"Muy Alta"</formula>
    </cfRule>
    <cfRule type="cellIs" dxfId="1181" priority="1282" operator="equal">
      <formula>"Alta"</formula>
    </cfRule>
    <cfRule type="cellIs" dxfId="1180" priority="1283" operator="equal">
      <formula>"Media"</formula>
    </cfRule>
    <cfRule type="cellIs" dxfId="1179" priority="1284" operator="equal">
      <formula>"Baja"</formula>
    </cfRule>
    <cfRule type="cellIs" dxfId="1178" priority="1285" operator="equal">
      <formula>"Muy Baja"</formula>
    </cfRule>
  </conditionalFormatting>
  <conditionalFormatting sqref="AB343:AB348">
    <cfRule type="cellIs" dxfId="1177" priority="1276" operator="equal">
      <formula>"Catastrófico"</formula>
    </cfRule>
    <cfRule type="cellIs" dxfId="1176" priority="1277" operator="equal">
      <formula>"Mayor"</formula>
    </cfRule>
    <cfRule type="cellIs" dxfId="1175" priority="1278" operator="equal">
      <formula>"Moderado"</formula>
    </cfRule>
    <cfRule type="cellIs" dxfId="1174" priority="1279" operator="equal">
      <formula>"Menor"</formula>
    </cfRule>
    <cfRule type="cellIs" dxfId="1173" priority="1280" operator="equal">
      <formula>"Leve"</formula>
    </cfRule>
  </conditionalFormatting>
  <conditionalFormatting sqref="AD343:AD348">
    <cfRule type="cellIs" dxfId="1172" priority="1272" operator="equal">
      <formula>"Extremo"</formula>
    </cfRule>
    <cfRule type="cellIs" dxfId="1171" priority="1273" operator="equal">
      <formula>"Alto"</formula>
    </cfRule>
    <cfRule type="cellIs" dxfId="1170" priority="1274" operator="equal">
      <formula>"Moderado"</formula>
    </cfRule>
    <cfRule type="cellIs" dxfId="1169" priority="1275" operator="equal">
      <formula>"Bajo"</formula>
    </cfRule>
  </conditionalFormatting>
  <conditionalFormatting sqref="Z349:Z354">
    <cfRule type="cellIs" dxfId="1168" priority="1267" operator="equal">
      <formula>"Muy Alta"</formula>
    </cfRule>
    <cfRule type="cellIs" dxfId="1167" priority="1268" operator="equal">
      <formula>"Alta"</formula>
    </cfRule>
    <cfRule type="cellIs" dxfId="1166" priority="1269" operator="equal">
      <formula>"Media"</formula>
    </cfRule>
    <cfRule type="cellIs" dxfId="1165" priority="1270" operator="equal">
      <formula>"Baja"</formula>
    </cfRule>
    <cfRule type="cellIs" dxfId="1164" priority="1271" operator="equal">
      <formula>"Muy Baja"</formula>
    </cfRule>
  </conditionalFormatting>
  <conditionalFormatting sqref="AB349:AB354">
    <cfRule type="cellIs" dxfId="1163" priority="1262" operator="equal">
      <formula>"Catastrófico"</formula>
    </cfRule>
    <cfRule type="cellIs" dxfId="1162" priority="1263" operator="equal">
      <formula>"Mayor"</formula>
    </cfRule>
    <cfRule type="cellIs" dxfId="1161" priority="1264" operator="equal">
      <formula>"Moderado"</formula>
    </cfRule>
    <cfRule type="cellIs" dxfId="1160" priority="1265" operator="equal">
      <formula>"Menor"</formula>
    </cfRule>
    <cfRule type="cellIs" dxfId="1159" priority="1266" operator="equal">
      <formula>"Leve"</formula>
    </cfRule>
  </conditionalFormatting>
  <conditionalFormatting sqref="AD349:AD354">
    <cfRule type="cellIs" dxfId="1158" priority="1258" operator="equal">
      <formula>"Extremo"</formula>
    </cfRule>
    <cfRule type="cellIs" dxfId="1157" priority="1259" operator="equal">
      <formula>"Alto"</formula>
    </cfRule>
    <cfRule type="cellIs" dxfId="1156" priority="1260" operator="equal">
      <formula>"Moderado"</formula>
    </cfRule>
    <cfRule type="cellIs" dxfId="1155" priority="1261" operator="equal">
      <formula>"Bajo"</formula>
    </cfRule>
  </conditionalFormatting>
  <conditionalFormatting sqref="Z355:Z360">
    <cfRule type="cellIs" dxfId="1154" priority="1253" operator="equal">
      <formula>"Muy Alta"</formula>
    </cfRule>
    <cfRule type="cellIs" dxfId="1153" priority="1254" operator="equal">
      <formula>"Alta"</formula>
    </cfRule>
    <cfRule type="cellIs" dxfId="1152" priority="1255" operator="equal">
      <formula>"Media"</formula>
    </cfRule>
    <cfRule type="cellIs" dxfId="1151" priority="1256" operator="equal">
      <formula>"Baja"</formula>
    </cfRule>
    <cfRule type="cellIs" dxfId="1150" priority="1257" operator="equal">
      <formula>"Muy Baja"</formula>
    </cfRule>
  </conditionalFormatting>
  <conditionalFormatting sqref="AB355:AB360">
    <cfRule type="cellIs" dxfId="1149" priority="1248" operator="equal">
      <formula>"Catastrófico"</formula>
    </cfRule>
    <cfRule type="cellIs" dxfId="1148" priority="1249" operator="equal">
      <formula>"Mayor"</formula>
    </cfRule>
    <cfRule type="cellIs" dxfId="1147" priority="1250" operator="equal">
      <formula>"Moderado"</formula>
    </cfRule>
    <cfRule type="cellIs" dxfId="1146" priority="1251" operator="equal">
      <formula>"Menor"</formula>
    </cfRule>
    <cfRule type="cellIs" dxfId="1145" priority="1252" operator="equal">
      <formula>"Leve"</formula>
    </cfRule>
  </conditionalFormatting>
  <conditionalFormatting sqref="AD355:AD360">
    <cfRule type="cellIs" dxfId="1144" priority="1244" operator="equal">
      <formula>"Extremo"</formula>
    </cfRule>
    <cfRule type="cellIs" dxfId="1143" priority="1245" operator="equal">
      <formula>"Alto"</formula>
    </cfRule>
    <cfRule type="cellIs" dxfId="1142" priority="1246" operator="equal">
      <formula>"Moderado"</formula>
    </cfRule>
    <cfRule type="cellIs" dxfId="1141" priority="1247" operator="equal">
      <formula>"Bajo"</formula>
    </cfRule>
  </conditionalFormatting>
  <conditionalFormatting sqref="M361 M367">
    <cfRule type="cellIs" dxfId="1140" priority="1239" operator="equal">
      <formula>"Catastrófico"</formula>
    </cfRule>
    <cfRule type="cellIs" dxfId="1139" priority="1240" operator="equal">
      <formula>"Mayor"</formula>
    </cfRule>
    <cfRule type="cellIs" dxfId="1138" priority="1241" operator="equal">
      <formula>"Moderado"</formula>
    </cfRule>
    <cfRule type="cellIs" dxfId="1137" priority="1242" operator="equal">
      <formula>"Menor"</formula>
    </cfRule>
    <cfRule type="cellIs" dxfId="1136" priority="1243" operator="equal">
      <formula>"Leve"</formula>
    </cfRule>
  </conditionalFormatting>
  <conditionalFormatting sqref="O361">
    <cfRule type="cellIs" dxfId="1135" priority="1235" operator="equal">
      <formula>"Extremo"</formula>
    </cfRule>
    <cfRule type="cellIs" dxfId="1134" priority="1236" operator="equal">
      <formula>"Alto"</formula>
    </cfRule>
    <cfRule type="cellIs" dxfId="1133" priority="1237" operator="equal">
      <formula>"Moderado"</formula>
    </cfRule>
    <cfRule type="cellIs" dxfId="1132" priority="1238" operator="equal">
      <formula>"Bajo"</formula>
    </cfRule>
  </conditionalFormatting>
  <conditionalFormatting sqref="O367">
    <cfRule type="cellIs" dxfId="1131" priority="1231" operator="equal">
      <formula>"Extremo"</formula>
    </cfRule>
    <cfRule type="cellIs" dxfId="1130" priority="1232" operator="equal">
      <formula>"Alto"</formula>
    </cfRule>
    <cfRule type="cellIs" dxfId="1129" priority="1233" operator="equal">
      <formula>"Moderado"</formula>
    </cfRule>
    <cfRule type="cellIs" dxfId="1128" priority="1234" operator="equal">
      <formula>"Bajo"</formula>
    </cfRule>
  </conditionalFormatting>
  <conditionalFormatting sqref="L361:L372">
    <cfRule type="containsText" dxfId="1127" priority="1230" operator="containsText" text="❌">
      <formula>NOT(ISERROR(SEARCH("❌",L361)))</formula>
    </cfRule>
  </conditionalFormatting>
  <conditionalFormatting sqref="Z367:Z372">
    <cfRule type="cellIs" dxfId="1126" priority="1225" operator="equal">
      <formula>"Muy Alta"</formula>
    </cfRule>
    <cfRule type="cellIs" dxfId="1125" priority="1226" operator="equal">
      <formula>"Alta"</formula>
    </cfRule>
    <cfRule type="cellIs" dxfId="1124" priority="1227" operator="equal">
      <formula>"Media"</formula>
    </cfRule>
    <cfRule type="cellIs" dxfId="1123" priority="1228" operator="equal">
      <formula>"Baja"</formula>
    </cfRule>
    <cfRule type="cellIs" dxfId="1122" priority="1229" operator="equal">
      <formula>"Muy Baja"</formula>
    </cfRule>
  </conditionalFormatting>
  <conditionalFormatting sqref="AB367:AB372">
    <cfRule type="cellIs" dxfId="1121" priority="1220" operator="equal">
      <formula>"Catastrófico"</formula>
    </cfRule>
    <cfRule type="cellIs" dxfId="1120" priority="1221" operator="equal">
      <formula>"Mayor"</formula>
    </cfRule>
    <cfRule type="cellIs" dxfId="1119" priority="1222" operator="equal">
      <formula>"Moderado"</formula>
    </cfRule>
    <cfRule type="cellIs" dxfId="1118" priority="1223" operator="equal">
      <formula>"Menor"</formula>
    </cfRule>
    <cfRule type="cellIs" dxfId="1117" priority="1224" operator="equal">
      <formula>"Leve"</formula>
    </cfRule>
  </conditionalFormatting>
  <conditionalFormatting sqref="AD367:AD372">
    <cfRule type="cellIs" dxfId="1116" priority="1216" operator="equal">
      <formula>"Extremo"</formula>
    </cfRule>
    <cfRule type="cellIs" dxfId="1115" priority="1217" operator="equal">
      <formula>"Alto"</formula>
    </cfRule>
    <cfRule type="cellIs" dxfId="1114" priority="1218" operator="equal">
      <formula>"Moderado"</formula>
    </cfRule>
    <cfRule type="cellIs" dxfId="1113" priority="1219" operator="equal">
      <formula>"Bajo"</formula>
    </cfRule>
  </conditionalFormatting>
  <conditionalFormatting sqref="I367">
    <cfRule type="cellIs" dxfId="1112" priority="1211" operator="equal">
      <formula>"Muy Alta"</formula>
    </cfRule>
    <cfRule type="cellIs" dxfId="1111" priority="1212" operator="equal">
      <formula>"Alta"</formula>
    </cfRule>
    <cfRule type="cellIs" dxfId="1110" priority="1213" operator="equal">
      <formula>"Media"</formula>
    </cfRule>
    <cfRule type="cellIs" dxfId="1109" priority="1214" operator="equal">
      <formula>"Baja"</formula>
    </cfRule>
    <cfRule type="cellIs" dxfId="1108" priority="1215" operator="equal">
      <formula>"Muy Baja"</formula>
    </cfRule>
  </conditionalFormatting>
  <conditionalFormatting sqref="I361">
    <cfRule type="cellIs" dxfId="1107" priority="1206" operator="equal">
      <formula>"Muy Alta"</formula>
    </cfRule>
    <cfRule type="cellIs" dxfId="1106" priority="1207" operator="equal">
      <formula>"Alta"</formula>
    </cfRule>
    <cfRule type="cellIs" dxfId="1105" priority="1208" operator="equal">
      <formula>"Media"</formula>
    </cfRule>
    <cfRule type="cellIs" dxfId="1104" priority="1209" operator="equal">
      <formula>"Baja"</formula>
    </cfRule>
    <cfRule type="cellIs" dxfId="1103" priority="1210" operator="equal">
      <formula>"Muy Baja"</formula>
    </cfRule>
  </conditionalFormatting>
  <conditionalFormatting sqref="Z361:Z366">
    <cfRule type="cellIs" dxfId="1102" priority="1201" operator="equal">
      <formula>"Muy Alta"</formula>
    </cfRule>
    <cfRule type="cellIs" dxfId="1101" priority="1202" operator="equal">
      <formula>"Alta"</formula>
    </cfRule>
    <cfRule type="cellIs" dxfId="1100" priority="1203" operator="equal">
      <formula>"Media"</formula>
    </cfRule>
    <cfRule type="cellIs" dxfId="1099" priority="1204" operator="equal">
      <formula>"Baja"</formula>
    </cfRule>
    <cfRule type="cellIs" dxfId="1098" priority="1205" operator="equal">
      <formula>"Muy Baja"</formula>
    </cfRule>
  </conditionalFormatting>
  <conditionalFormatting sqref="AB361:AB366">
    <cfRule type="cellIs" dxfId="1097" priority="1196" operator="equal">
      <formula>"Catastrófico"</formula>
    </cfRule>
    <cfRule type="cellIs" dxfId="1096" priority="1197" operator="equal">
      <formula>"Mayor"</formula>
    </cfRule>
    <cfRule type="cellIs" dxfId="1095" priority="1198" operator="equal">
      <formula>"Moderado"</formula>
    </cfRule>
    <cfRule type="cellIs" dxfId="1094" priority="1199" operator="equal">
      <formula>"Menor"</formula>
    </cfRule>
    <cfRule type="cellIs" dxfId="1093" priority="1200" operator="equal">
      <formula>"Leve"</formula>
    </cfRule>
  </conditionalFormatting>
  <conditionalFormatting sqref="AD361:AD366">
    <cfRule type="cellIs" dxfId="1092" priority="1192" operator="equal">
      <formula>"Extremo"</formula>
    </cfRule>
    <cfRule type="cellIs" dxfId="1091" priority="1193" operator="equal">
      <formula>"Alto"</formula>
    </cfRule>
    <cfRule type="cellIs" dxfId="1090" priority="1194" operator="equal">
      <formula>"Moderado"</formula>
    </cfRule>
    <cfRule type="cellIs" dxfId="1089" priority="1195" operator="equal">
      <formula>"Bajo"</formula>
    </cfRule>
  </conditionalFormatting>
  <conditionalFormatting sqref="M373 M379 M385">
    <cfRule type="cellIs" dxfId="1088" priority="1187" operator="equal">
      <formula>"Catastrófico"</formula>
    </cfRule>
    <cfRule type="cellIs" dxfId="1087" priority="1188" operator="equal">
      <formula>"Mayor"</formula>
    </cfRule>
    <cfRule type="cellIs" dxfId="1086" priority="1189" operator="equal">
      <formula>"Moderado"</formula>
    </cfRule>
    <cfRule type="cellIs" dxfId="1085" priority="1190" operator="equal">
      <formula>"Menor"</formula>
    </cfRule>
    <cfRule type="cellIs" dxfId="1084" priority="1191" operator="equal">
      <formula>"Leve"</formula>
    </cfRule>
  </conditionalFormatting>
  <conditionalFormatting sqref="O373">
    <cfRule type="cellIs" dxfId="1083" priority="1183" operator="equal">
      <formula>"Extremo"</formula>
    </cfRule>
    <cfRule type="cellIs" dxfId="1082" priority="1184" operator="equal">
      <formula>"Alto"</formula>
    </cfRule>
    <cfRule type="cellIs" dxfId="1081" priority="1185" operator="equal">
      <formula>"Moderado"</formula>
    </cfRule>
    <cfRule type="cellIs" dxfId="1080" priority="1186" operator="equal">
      <formula>"Bajo"</formula>
    </cfRule>
  </conditionalFormatting>
  <conditionalFormatting sqref="Z373:Z378">
    <cfRule type="cellIs" dxfId="1079" priority="1178" operator="equal">
      <formula>"Muy Alta"</formula>
    </cfRule>
    <cfRule type="cellIs" dxfId="1078" priority="1179" operator="equal">
      <formula>"Alta"</formula>
    </cfRule>
    <cfRule type="cellIs" dxfId="1077" priority="1180" operator="equal">
      <formula>"Media"</formula>
    </cfRule>
    <cfRule type="cellIs" dxfId="1076" priority="1181" operator="equal">
      <formula>"Baja"</formula>
    </cfRule>
    <cfRule type="cellIs" dxfId="1075" priority="1182" operator="equal">
      <formula>"Muy Baja"</formula>
    </cfRule>
  </conditionalFormatting>
  <conditionalFormatting sqref="AB373:AB378">
    <cfRule type="cellIs" dxfId="1074" priority="1173" operator="equal">
      <formula>"Catastrófico"</formula>
    </cfRule>
    <cfRule type="cellIs" dxfId="1073" priority="1174" operator="equal">
      <formula>"Mayor"</formula>
    </cfRule>
    <cfRule type="cellIs" dxfId="1072" priority="1175" operator="equal">
      <formula>"Moderado"</formula>
    </cfRule>
    <cfRule type="cellIs" dxfId="1071" priority="1176" operator="equal">
      <formula>"Menor"</formula>
    </cfRule>
    <cfRule type="cellIs" dxfId="1070" priority="1177" operator="equal">
      <formula>"Leve"</formula>
    </cfRule>
  </conditionalFormatting>
  <conditionalFormatting sqref="AD373:AD378">
    <cfRule type="cellIs" dxfId="1069" priority="1169" operator="equal">
      <formula>"Extremo"</formula>
    </cfRule>
    <cfRule type="cellIs" dxfId="1068" priority="1170" operator="equal">
      <formula>"Alto"</formula>
    </cfRule>
    <cfRule type="cellIs" dxfId="1067" priority="1171" operator="equal">
      <formula>"Moderado"</formula>
    </cfRule>
    <cfRule type="cellIs" dxfId="1066" priority="1172" operator="equal">
      <formula>"Bajo"</formula>
    </cfRule>
  </conditionalFormatting>
  <conditionalFormatting sqref="O379">
    <cfRule type="cellIs" dxfId="1065" priority="1165" operator="equal">
      <formula>"Extremo"</formula>
    </cfRule>
    <cfRule type="cellIs" dxfId="1064" priority="1166" operator="equal">
      <formula>"Alto"</formula>
    </cfRule>
    <cfRule type="cellIs" dxfId="1063" priority="1167" operator="equal">
      <formula>"Moderado"</formula>
    </cfRule>
    <cfRule type="cellIs" dxfId="1062" priority="1168" operator="equal">
      <formula>"Bajo"</formula>
    </cfRule>
  </conditionalFormatting>
  <conditionalFormatting sqref="O385">
    <cfRule type="cellIs" dxfId="1061" priority="1161" operator="equal">
      <formula>"Extremo"</formula>
    </cfRule>
    <cfRule type="cellIs" dxfId="1060" priority="1162" operator="equal">
      <formula>"Alto"</formula>
    </cfRule>
    <cfRule type="cellIs" dxfId="1059" priority="1163" operator="equal">
      <formula>"Moderado"</formula>
    </cfRule>
    <cfRule type="cellIs" dxfId="1058" priority="1164" operator="equal">
      <formula>"Bajo"</formula>
    </cfRule>
  </conditionalFormatting>
  <conditionalFormatting sqref="L373:L390">
    <cfRule type="containsText" dxfId="1057" priority="1160" operator="containsText" text="❌">
      <formula>NOT(ISERROR(SEARCH("❌",L373)))</formula>
    </cfRule>
  </conditionalFormatting>
  <conditionalFormatting sqref="Z379:Z384">
    <cfRule type="cellIs" dxfId="1056" priority="1155" operator="equal">
      <formula>"Muy Alta"</formula>
    </cfRule>
    <cfRule type="cellIs" dxfId="1055" priority="1156" operator="equal">
      <formula>"Alta"</formula>
    </cfRule>
    <cfRule type="cellIs" dxfId="1054" priority="1157" operator="equal">
      <formula>"Media"</formula>
    </cfRule>
    <cfRule type="cellIs" dxfId="1053" priority="1158" operator="equal">
      <formula>"Baja"</formula>
    </cfRule>
    <cfRule type="cellIs" dxfId="1052" priority="1159" operator="equal">
      <formula>"Muy Baja"</formula>
    </cfRule>
  </conditionalFormatting>
  <conditionalFormatting sqref="AB379:AB384">
    <cfRule type="cellIs" dxfId="1051" priority="1150" operator="equal">
      <formula>"Catastrófico"</formula>
    </cfRule>
    <cfRule type="cellIs" dxfId="1050" priority="1151" operator="equal">
      <formula>"Mayor"</formula>
    </cfRule>
    <cfRule type="cellIs" dxfId="1049" priority="1152" operator="equal">
      <formula>"Moderado"</formula>
    </cfRule>
    <cfRule type="cellIs" dxfId="1048" priority="1153" operator="equal">
      <formula>"Menor"</formula>
    </cfRule>
    <cfRule type="cellIs" dxfId="1047" priority="1154" operator="equal">
      <formula>"Leve"</formula>
    </cfRule>
  </conditionalFormatting>
  <conditionalFormatting sqref="AD379:AD384">
    <cfRule type="cellIs" dxfId="1046" priority="1146" operator="equal">
      <formula>"Extremo"</formula>
    </cfRule>
    <cfRule type="cellIs" dxfId="1045" priority="1147" operator="equal">
      <formula>"Alto"</formula>
    </cfRule>
    <cfRule type="cellIs" dxfId="1044" priority="1148" operator="equal">
      <formula>"Moderado"</formula>
    </cfRule>
    <cfRule type="cellIs" dxfId="1043" priority="1149" operator="equal">
      <formula>"Bajo"</formula>
    </cfRule>
  </conditionalFormatting>
  <conditionalFormatting sqref="Z385:Z390">
    <cfRule type="cellIs" dxfId="1042" priority="1141" operator="equal">
      <formula>"Muy Alta"</formula>
    </cfRule>
    <cfRule type="cellIs" dxfId="1041" priority="1142" operator="equal">
      <formula>"Alta"</formula>
    </cfRule>
    <cfRule type="cellIs" dxfId="1040" priority="1143" operator="equal">
      <formula>"Media"</formula>
    </cfRule>
    <cfRule type="cellIs" dxfId="1039" priority="1144" operator="equal">
      <formula>"Baja"</formula>
    </cfRule>
    <cfRule type="cellIs" dxfId="1038" priority="1145" operator="equal">
      <formula>"Muy Baja"</formula>
    </cfRule>
  </conditionalFormatting>
  <conditionalFormatting sqref="AB385:AB390">
    <cfRule type="cellIs" dxfId="1037" priority="1136" operator="equal">
      <formula>"Catastrófico"</formula>
    </cfRule>
    <cfRule type="cellIs" dxfId="1036" priority="1137" operator="equal">
      <formula>"Mayor"</formula>
    </cfRule>
    <cfRule type="cellIs" dxfId="1035" priority="1138" operator="equal">
      <formula>"Moderado"</formula>
    </cfRule>
    <cfRule type="cellIs" dxfId="1034" priority="1139" operator="equal">
      <formula>"Menor"</formula>
    </cfRule>
    <cfRule type="cellIs" dxfId="1033" priority="1140" operator="equal">
      <formula>"Leve"</formula>
    </cfRule>
  </conditionalFormatting>
  <conditionalFormatting sqref="AD385:AD390">
    <cfRule type="cellIs" dxfId="1032" priority="1132" operator="equal">
      <formula>"Extremo"</formula>
    </cfRule>
    <cfRule type="cellIs" dxfId="1031" priority="1133" operator="equal">
      <formula>"Alto"</formula>
    </cfRule>
    <cfRule type="cellIs" dxfId="1030" priority="1134" operator="equal">
      <formula>"Moderado"</formula>
    </cfRule>
    <cfRule type="cellIs" dxfId="1029" priority="1135" operator="equal">
      <formula>"Bajo"</formula>
    </cfRule>
  </conditionalFormatting>
  <conditionalFormatting sqref="I379">
    <cfRule type="cellIs" dxfId="1028" priority="1127" operator="equal">
      <formula>"Muy Alta"</formula>
    </cfRule>
    <cfRule type="cellIs" dxfId="1027" priority="1128" operator="equal">
      <formula>"Alta"</formula>
    </cfRule>
    <cfRule type="cellIs" dxfId="1026" priority="1129" operator="equal">
      <formula>"Media"</formula>
    </cfRule>
    <cfRule type="cellIs" dxfId="1025" priority="1130" operator="equal">
      <formula>"Baja"</formula>
    </cfRule>
    <cfRule type="cellIs" dxfId="1024" priority="1131" operator="equal">
      <formula>"Muy Baja"</formula>
    </cfRule>
  </conditionalFormatting>
  <conditionalFormatting sqref="I385">
    <cfRule type="cellIs" dxfId="1023" priority="1122" operator="equal">
      <formula>"Muy Alta"</formula>
    </cfRule>
    <cfRule type="cellIs" dxfId="1022" priority="1123" operator="equal">
      <formula>"Alta"</formula>
    </cfRule>
    <cfRule type="cellIs" dxfId="1021" priority="1124" operator="equal">
      <formula>"Media"</formula>
    </cfRule>
    <cfRule type="cellIs" dxfId="1020" priority="1125" operator="equal">
      <formula>"Baja"</formula>
    </cfRule>
    <cfRule type="cellIs" dxfId="1019" priority="1126" operator="equal">
      <formula>"Muy Baja"</formula>
    </cfRule>
  </conditionalFormatting>
  <conditionalFormatting sqref="I373">
    <cfRule type="cellIs" dxfId="1018" priority="1117" operator="equal">
      <formula>"Muy Alta"</formula>
    </cfRule>
    <cfRule type="cellIs" dxfId="1017" priority="1118" operator="equal">
      <formula>"Alta"</formula>
    </cfRule>
    <cfRule type="cellIs" dxfId="1016" priority="1119" operator="equal">
      <formula>"Media"</formula>
    </cfRule>
    <cfRule type="cellIs" dxfId="1015" priority="1120" operator="equal">
      <formula>"Baja"</formula>
    </cfRule>
    <cfRule type="cellIs" dxfId="1014" priority="1121" operator="equal">
      <formula>"Muy Baja"</formula>
    </cfRule>
  </conditionalFormatting>
  <conditionalFormatting sqref="M391">
    <cfRule type="cellIs" dxfId="1013" priority="1112" operator="equal">
      <formula>"Catastrófico"</formula>
    </cfRule>
    <cfRule type="cellIs" dxfId="1012" priority="1113" operator="equal">
      <formula>"Mayor"</formula>
    </cfRule>
    <cfRule type="cellIs" dxfId="1011" priority="1114" operator="equal">
      <formula>"Moderado"</formula>
    </cfRule>
    <cfRule type="cellIs" dxfId="1010" priority="1115" operator="equal">
      <formula>"Menor"</formula>
    </cfRule>
    <cfRule type="cellIs" dxfId="1009" priority="1116" operator="equal">
      <formula>"Leve"</formula>
    </cfRule>
  </conditionalFormatting>
  <conditionalFormatting sqref="O391">
    <cfRule type="cellIs" dxfId="1008" priority="1108" operator="equal">
      <formula>"Extremo"</formula>
    </cfRule>
    <cfRule type="cellIs" dxfId="1007" priority="1109" operator="equal">
      <formula>"Alto"</formula>
    </cfRule>
    <cfRule type="cellIs" dxfId="1006" priority="1110" operator="equal">
      <formula>"Moderado"</formula>
    </cfRule>
    <cfRule type="cellIs" dxfId="1005" priority="1111" operator="equal">
      <formula>"Bajo"</formula>
    </cfRule>
  </conditionalFormatting>
  <conditionalFormatting sqref="Z391:Z396">
    <cfRule type="cellIs" dxfId="1004" priority="1103" operator="equal">
      <formula>"Muy Alta"</formula>
    </cfRule>
    <cfRule type="cellIs" dxfId="1003" priority="1104" operator="equal">
      <formula>"Alta"</formula>
    </cfRule>
    <cfRule type="cellIs" dxfId="1002" priority="1105" operator="equal">
      <formula>"Media"</formula>
    </cfRule>
    <cfRule type="cellIs" dxfId="1001" priority="1106" operator="equal">
      <formula>"Baja"</formula>
    </cfRule>
    <cfRule type="cellIs" dxfId="1000" priority="1107" operator="equal">
      <formula>"Muy Baja"</formula>
    </cfRule>
  </conditionalFormatting>
  <conditionalFormatting sqref="AB391:AB396">
    <cfRule type="cellIs" dxfId="999" priority="1098" operator="equal">
      <formula>"Catastrófico"</formula>
    </cfRule>
    <cfRule type="cellIs" dxfId="998" priority="1099" operator="equal">
      <formula>"Mayor"</formula>
    </cfRule>
    <cfRule type="cellIs" dxfId="997" priority="1100" operator="equal">
      <formula>"Moderado"</formula>
    </cfRule>
    <cfRule type="cellIs" dxfId="996" priority="1101" operator="equal">
      <formula>"Menor"</formula>
    </cfRule>
    <cfRule type="cellIs" dxfId="995" priority="1102" operator="equal">
      <formula>"Leve"</formula>
    </cfRule>
  </conditionalFormatting>
  <conditionalFormatting sqref="AD391:AD396">
    <cfRule type="cellIs" dxfId="994" priority="1094" operator="equal">
      <formula>"Extremo"</formula>
    </cfRule>
    <cfRule type="cellIs" dxfId="993" priority="1095" operator="equal">
      <formula>"Alto"</formula>
    </cfRule>
    <cfRule type="cellIs" dxfId="992" priority="1096" operator="equal">
      <formula>"Moderado"</formula>
    </cfRule>
    <cfRule type="cellIs" dxfId="991" priority="1097" operator="equal">
      <formula>"Bajo"</formula>
    </cfRule>
  </conditionalFormatting>
  <conditionalFormatting sqref="L391:L396">
    <cfRule type="containsText" dxfId="990" priority="1093" operator="containsText" text="❌">
      <formula>NOT(ISERROR(SEARCH("❌",L391)))</formula>
    </cfRule>
  </conditionalFormatting>
  <conditionalFormatting sqref="I391">
    <cfRule type="cellIs" dxfId="989" priority="1088" operator="equal">
      <formula>"Muy Alta"</formula>
    </cfRule>
    <cfRule type="cellIs" dxfId="988" priority="1089" operator="equal">
      <formula>"Alta"</formula>
    </cfRule>
    <cfRule type="cellIs" dxfId="987" priority="1090" operator="equal">
      <formula>"Media"</formula>
    </cfRule>
    <cfRule type="cellIs" dxfId="986" priority="1091" operator="equal">
      <formula>"Baja"</formula>
    </cfRule>
    <cfRule type="cellIs" dxfId="985" priority="1092" operator="equal">
      <formula>"Muy Baja"</formula>
    </cfRule>
  </conditionalFormatting>
  <conditionalFormatting sqref="M397 M403 M409 M415 M421 M427">
    <cfRule type="cellIs" dxfId="984" priority="1083" operator="equal">
      <formula>"Catastrófico"</formula>
    </cfRule>
    <cfRule type="cellIs" dxfId="983" priority="1084" operator="equal">
      <formula>"Mayor"</formula>
    </cfRule>
    <cfRule type="cellIs" dxfId="982" priority="1085" operator="equal">
      <formula>"Moderado"</formula>
    </cfRule>
    <cfRule type="cellIs" dxfId="981" priority="1086" operator="equal">
      <formula>"Menor"</formula>
    </cfRule>
    <cfRule type="cellIs" dxfId="980" priority="1087" operator="equal">
      <formula>"Leve"</formula>
    </cfRule>
  </conditionalFormatting>
  <conditionalFormatting sqref="O397">
    <cfRule type="cellIs" dxfId="979" priority="1079" operator="equal">
      <formula>"Extremo"</formula>
    </cfRule>
    <cfRule type="cellIs" dxfId="978" priority="1080" operator="equal">
      <formula>"Alto"</formula>
    </cfRule>
    <cfRule type="cellIs" dxfId="977" priority="1081" operator="equal">
      <formula>"Moderado"</formula>
    </cfRule>
    <cfRule type="cellIs" dxfId="976" priority="1082" operator="equal">
      <formula>"Bajo"</formula>
    </cfRule>
  </conditionalFormatting>
  <conditionalFormatting sqref="O403">
    <cfRule type="cellIs" dxfId="975" priority="1075" operator="equal">
      <formula>"Extremo"</formula>
    </cfRule>
    <cfRule type="cellIs" dxfId="974" priority="1076" operator="equal">
      <formula>"Alto"</formula>
    </cfRule>
    <cfRule type="cellIs" dxfId="973" priority="1077" operator="equal">
      <formula>"Moderado"</formula>
    </cfRule>
    <cfRule type="cellIs" dxfId="972" priority="1078" operator="equal">
      <formula>"Bajo"</formula>
    </cfRule>
  </conditionalFormatting>
  <conditionalFormatting sqref="O409">
    <cfRule type="cellIs" dxfId="971" priority="1071" operator="equal">
      <formula>"Extremo"</formula>
    </cfRule>
    <cfRule type="cellIs" dxfId="970" priority="1072" operator="equal">
      <formula>"Alto"</formula>
    </cfRule>
    <cfRule type="cellIs" dxfId="969" priority="1073" operator="equal">
      <formula>"Moderado"</formula>
    </cfRule>
    <cfRule type="cellIs" dxfId="968" priority="1074" operator="equal">
      <formula>"Bajo"</formula>
    </cfRule>
  </conditionalFormatting>
  <conditionalFormatting sqref="O415">
    <cfRule type="cellIs" dxfId="967" priority="1067" operator="equal">
      <formula>"Extremo"</formula>
    </cfRule>
    <cfRule type="cellIs" dxfId="966" priority="1068" operator="equal">
      <formula>"Alto"</formula>
    </cfRule>
    <cfRule type="cellIs" dxfId="965" priority="1069" operator="equal">
      <formula>"Moderado"</formula>
    </cfRule>
    <cfRule type="cellIs" dxfId="964" priority="1070" operator="equal">
      <formula>"Bajo"</formula>
    </cfRule>
  </conditionalFormatting>
  <conditionalFormatting sqref="O421">
    <cfRule type="cellIs" dxfId="963" priority="1063" operator="equal">
      <formula>"Extremo"</formula>
    </cfRule>
    <cfRule type="cellIs" dxfId="962" priority="1064" operator="equal">
      <formula>"Alto"</formula>
    </cfRule>
    <cfRule type="cellIs" dxfId="961" priority="1065" operator="equal">
      <formula>"Moderado"</formula>
    </cfRule>
    <cfRule type="cellIs" dxfId="960" priority="1066" operator="equal">
      <formula>"Bajo"</formula>
    </cfRule>
  </conditionalFormatting>
  <conditionalFormatting sqref="O427">
    <cfRule type="cellIs" dxfId="959" priority="1059" operator="equal">
      <formula>"Extremo"</formula>
    </cfRule>
    <cfRule type="cellIs" dxfId="958" priority="1060" operator="equal">
      <formula>"Alto"</formula>
    </cfRule>
    <cfRule type="cellIs" dxfId="957" priority="1061" operator="equal">
      <formula>"Moderado"</formula>
    </cfRule>
    <cfRule type="cellIs" dxfId="956" priority="1062" operator="equal">
      <formula>"Bajo"</formula>
    </cfRule>
  </conditionalFormatting>
  <conditionalFormatting sqref="L397:L432">
    <cfRule type="containsText" dxfId="955" priority="1058" operator="containsText" text="❌">
      <formula>NOT(ISERROR(SEARCH("❌",L397)))</formula>
    </cfRule>
  </conditionalFormatting>
  <conditionalFormatting sqref="Z403:Z408">
    <cfRule type="cellIs" dxfId="954" priority="1053" operator="equal">
      <formula>"Muy Alta"</formula>
    </cfRule>
    <cfRule type="cellIs" dxfId="953" priority="1054" operator="equal">
      <formula>"Alta"</formula>
    </cfRule>
    <cfRule type="cellIs" dxfId="952" priority="1055" operator="equal">
      <formula>"Media"</formula>
    </cfRule>
    <cfRule type="cellIs" dxfId="951" priority="1056" operator="equal">
      <formula>"Baja"</formula>
    </cfRule>
    <cfRule type="cellIs" dxfId="950" priority="1057" operator="equal">
      <formula>"Muy Baja"</formula>
    </cfRule>
  </conditionalFormatting>
  <conditionalFormatting sqref="AB403:AB408">
    <cfRule type="cellIs" dxfId="949" priority="1048" operator="equal">
      <formula>"Catastrófico"</formula>
    </cfRule>
    <cfRule type="cellIs" dxfId="948" priority="1049" operator="equal">
      <formula>"Mayor"</formula>
    </cfRule>
    <cfRule type="cellIs" dxfId="947" priority="1050" operator="equal">
      <formula>"Moderado"</formula>
    </cfRule>
    <cfRule type="cellIs" dxfId="946" priority="1051" operator="equal">
      <formula>"Menor"</formula>
    </cfRule>
    <cfRule type="cellIs" dxfId="945" priority="1052" operator="equal">
      <formula>"Leve"</formula>
    </cfRule>
  </conditionalFormatting>
  <conditionalFormatting sqref="AD403:AD408">
    <cfRule type="cellIs" dxfId="944" priority="1044" operator="equal">
      <formula>"Extremo"</formula>
    </cfRule>
    <cfRule type="cellIs" dxfId="943" priority="1045" operator="equal">
      <formula>"Alto"</formula>
    </cfRule>
    <cfRule type="cellIs" dxfId="942" priority="1046" operator="equal">
      <formula>"Moderado"</formula>
    </cfRule>
    <cfRule type="cellIs" dxfId="941" priority="1047" operator="equal">
      <formula>"Bajo"</formula>
    </cfRule>
  </conditionalFormatting>
  <conditionalFormatting sqref="I403">
    <cfRule type="cellIs" dxfId="940" priority="1039" operator="equal">
      <formula>"Muy Alta"</formula>
    </cfRule>
    <cfRule type="cellIs" dxfId="939" priority="1040" operator="equal">
      <formula>"Alta"</formula>
    </cfRule>
    <cfRule type="cellIs" dxfId="938" priority="1041" operator="equal">
      <formula>"Media"</formula>
    </cfRule>
    <cfRule type="cellIs" dxfId="937" priority="1042" operator="equal">
      <formula>"Baja"</formula>
    </cfRule>
    <cfRule type="cellIs" dxfId="936" priority="1043" operator="equal">
      <formula>"Muy Baja"</formula>
    </cfRule>
  </conditionalFormatting>
  <conditionalFormatting sqref="I409">
    <cfRule type="cellIs" dxfId="935" priority="1034" operator="equal">
      <formula>"Muy Alta"</formula>
    </cfRule>
    <cfRule type="cellIs" dxfId="934" priority="1035" operator="equal">
      <formula>"Alta"</formula>
    </cfRule>
    <cfRule type="cellIs" dxfId="933" priority="1036" operator="equal">
      <formula>"Media"</formula>
    </cfRule>
    <cfRule type="cellIs" dxfId="932" priority="1037" operator="equal">
      <formula>"Baja"</formula>
    </cfRule>
    <cfRule type="cellIs" dxfId="931" priority="1038" operator="equal">
      <formula>"Muy Baja"</formula>
    </cfRule>
  </conditionalFormatting>
  <conditionalFormatting sqref="I415">
    <cfRule type="cellIs" dxfId="930" priority="1029" operator="equal">
      <formula>"Muy Alta"</formula>
    </cfRule>
    <cfRule type="cellIs" dxfId="929" priority="1030" operator="equal">
      <formula>"Alta"</formula>
    </cfRule>
    <cfRule type="cellIs" dxfId="928" priority="1031" operator="equal">
      <formula>"Media"</formula>
    </cfRule>
    <cfRule type="cellIs" dxfId="927" priority="1032" operator="equal">
      <formula>"Baja"</formula>
    </cfRule>
    <cfRule type="cellIs" dxfId="926" priority="1033" operator="equal">
      <formula>"Muy Baja"</formula>
    </cfRule>
  </conditionalFormatting>
  <conditionalFormatting sqref="I421">
    <cfRule type="cellIs" dxfId="925" priority="1024" operator="equal">
      <formula>"Muy Alta"</formula>
    </cfRule>
    <cfRule type="cellIs" dxfId="924" priority="1025" operator="equal">
      <formula>"Alta"</formula>
    </cfRule>
    <cfRule type="cellIs" dxfId="923" priority="1026" operator="equal">
      <formula>"Media"</formula>
    </cfRule>
    <cfRule type="cellIs" dxfId="922" priority="1027" operator="equal">
      <formula>"Baja"</formula>
    </cfRule>
    <cfRule type="cellIs" dxfId="921" priority="1028" operator="equal">
      <formula>"Muy Baja"</formula>
    </cfRule>
  </conditionalFormatting>
  <conditionalFormatting sqref="I427">
    <cfRule type="cellIs" dxfId="920" priority="1019" operator="equal">
      <formula>"Muy Alta"</formula>
    </cfRule>
    <cfRule type="cellIs" dxfId="919" priority="1020" operator="equal">
      <formula>"Alta"</formula>
    </cfRule>
    <cfRule type="cellIs" dxfId="918" priority="1021" operator="equal">
      <formula>"Media"</formula>
    </cfRule>
    <cfRule type="cellIs" dxfId="917" priority="1022" operator="equal">
      <formula>"Baja"</formula>
    </cfRule>
    <cfRule type="cellIs" dxfId="916" priority="1023" operator="equal">
      <formula>"Muy Baja"</formula>
    </cfRule>
  </conditionalFormatting>
  <conditionalFormatting sqref="I397">
    <cfRule type="cellIs" dxfId="915" priority="1014" operator="equal">
      <formula>"Muy Alta"</formula>
    </cfRule>
    <cfRule type="cellIs" dxfId="914" priority="1015" operator="equal">
      <formula>"Alta"</formula>
    </cfRule>
    <cfRule type="cellIs" dxfId="913" priority="1016" operator="equal">
      <formula>"Media"</formula>
    </cfRule>
    <cfRule type="cellIs" dxfId="912" priority="1017" operator="equal">
      <formula>"Baja"</formula>
    </cfRule>
    <cfRule type="cellIs" dxfId="911" priority="1018" operator="equal">
      <formula>"Muy Baja"</formula>
    </cfRule>
  </conditionalFormatting>
  <conditionalFormatting sqref="Z397:Z402">
    <cfRule type="cellIs" dxfId="910" priority="1009" operator="equal">
      <formula>"Muy Alta"</formula>
    </cfRule>
    <cfRule type="cellIs" dxfId="909" priority="1010" operator="equal">
      <formula>"Alta"</formula>
    </cfRule>
    <cfRule type="cellIs" dxfId="908" priority="1011" operator="equal">
      <formula>"Media"</formula>
    </cfRule>
    <cfRule type="cellIs" dxfId="907" priority="1012" operator="equal">
      <formula>"Baja"</formula>
    </cfRule>
    <cfRule type="cellIs" dxfId="906" priority="1013" operator="equal">
      <formula>"Muy Baja"</formula>
    </cfRule>
  </conditionalFormatting>
  <conditionalFormatting sqref="AB397:AB402">
    <cfRule type="cellIs" dxfId="905" priority="1004" operator="equal">
      <formula>"Catastrófico"</formula>
    </cfRule>
    <cfRule type="cellIs" dxfId="904" priority="1005" operator="equal">
      <formula>"Mayor"</formula>
    </cfRule>
    <cfRule type="cellIs" dxfId="903" priority="1006" operator="equal">
      <formula>"Moderado"</formula>
    </cfRule>
    <cfRule type="cellIs" dxfId="902" priority="1007" operator="equal">
      <formula>"Menor"</formula>
    </cfRule>
    <cfRule type="cellIs" dxfId="901" priority="1008" operator="equal">
      <formula>"Leve"</formula>
    </cfRule>
  </conditionalFormatting>
  <conditionalFormatting sqref="AD397:AD402">
    <cfRule type="cellIs" dxfId="900" priority="1000" operator="equal">
      <formula>"Extremo"</formula>
    </cfRule>
    <cfRule type="cellIs" dxfId="899" priority="1001" operator="equal">
      <formula>"Alto"</formula>
    </cfRule>
    <cfRule type="cellIs" dxfId="898" priority="1002" operator="equal">
      <formula>"Moderado"</formula>
    </cfRule>
    <cfRule type="cellIs" dxfId="897" priority="1003" operator="equal">
      <formula>"Bajo"</formula>
    </cfRule>
  </conditionalFormatting>
  <conditionalFormatting sqref="Z409:Z414">
    <cfRule type="cellIs" dxfId="896" priority="995" operator="equal">
      <formula>"Muy Alta"</formula>
    </cfRule>
    <cfRule type="cellIs" dxfId="895" priority="996" operator="equal">
      <formula>"Alta"</formula>
    </cfRule>
    <cfRule type="cellIs" dxfId="894" priority="997" operator="equal">
      <formula>"Media"</formula>
    </cfRule>
    <cfRule type="cellIs" dxfId="893" priority="998" operator="equal">
      <formula>"Baja"</formula>
    </cfRule>
    <cfRule type="cellIs" dxfId="892" priority="999" operator="equal">
      <formula>"Muy Baja"</formula>
    </cfRule>
  </conditionalFormatting>
  <conditionalFormatting sqref="AB409:AB414">
    <cfRule type="cellIs" dxfId="891" priority="990" operator="equal">
      <formula>"Catastrófico"</formula>
    </cfRule>
    <cfRule type="cellIs" dxfId="890" priority="991" operator="equal">
      <formula>"Mayor"</formula>
    </cfRule>
    <cfRule type="cellIs" dxfId="889" priority="992" operator="equal">
      <formula>"Moderado"</formula>
    </cfRule>
    <cfRule type="cellIs" dxfId="888" priority="993" operator="equal">
      <formula>"Menor"</formula>
    </cfRule>
    <cfRule type="cellIs" dxfId="887" priority="994" operator="equal">
      <formula>"Leve"</formula>
    </cfRule>
  </conditionalFormatting>
  <conditionalFormatting sqref="AD409:AD414">
    <cfRule type="cellIs" dxfId="886" priority="986" operator="equal">
      <formula>"Extremo"</formula>
    </cfRule>
    <cfRule type="cellIs" dxfId="885" priority="987" operator="equal">
      <formula>"Alto"</formula>
    </cfRule>
    <cfRule type="cellIs" dxfId="884" priority="988" operator="equal">
      <formula>"Moderado"</formula>
    </cfRule>
    <cfRule type="cellIs" dxfId="883" priority="989" operator="equal">
      <formula>"Bajo"</formula>
    </cfRule>
  </conditionalFormatting>
  <conditionalFormatting sqref="Z415:Z420">
    <cfRule type="cellIs" dxfId="882" priority="981" operator="equal">
      <formula>"Muy Alta"</formula>
    </cfRule>
    <cfRule type="cellIs" dxfId="881" priority="982" operator="equal">
      <formula>"Alta"</formula>
    </cfRule>
    <cfRule type="cellIs" dxfId="880" priority="983" operator="equal">
      <formula>"Media"</formula>
    </cfRule>
    <cfRule type="cellIs" dxfId="879" priority="984" operator="equal">
      <formula>"Baja"</formula>
    </cfRule>
    <cfRule type="cellIs" dxfId="878" priority="985" operator="equal">
      <formula>"Muy Baja"</formula>
    </cfRule>
  </conditionalFormatting>
  <conditionalFormatting sqref="AB415:AB420">
    <cfRule type="cellIs" dxfId="877" priority="976" operator="equal">
      <formula>"Catastrófico"</formula>
    </cfRule>
    <cfRule type="cellIs" dxfId="876" priority="977" operator="equal">
      <formula>"Mayor"</formula>
    </cfRule>
    <cfRule type="cellIs" dxfId="875" priority="978" operator="equal">
      <formula>"Moderado"</formula>
    </cfRule>
    <cfRule type="cellIs" dxfId="874" priority="979" operator="equal">
      <formula>"Menor"</formula>
    </cfRule>
    <cfRule type="cellIs" dxfId="873" priority="980" operator="equal">
      <formula>"Leve"</formula>
    </cfRule>
  </conditionalFormatting>
  <conditionalFormatting sqref="AD415:AD420">
    <cfRule type="cellIs" dxfId="872" priority="972" operator="equal">
      <formula>"Extremo"</formula>
    </cfRule>
    <cfRule type="cellIs" dxfId="871" priority="973" operator="equal">
      <formula>"Alto"</formula>
    </cfRule>
    <cfRule type="cellIs" dxfId="870" priority="974" operator="equal">
      <formula>"Moderado"</formula>
    </cfRule>
    <cfRule type="cellIs" dxfId="869" priority="975" operator="equal">
      <formula>"Bajo"</formula>
    </cfRule>
  </conditionalFormatting>
  <conditionalFormatting sqref="Z421:Z426">
    <cfRule type="cellIs" dxfId="868" priority="967" operator="equal">
      <formula>"Muy Alta"</formula>
    </cfRule>
    <cfRule type="cellIs" dxfId="867" priority="968" operator="equal">
      <formula>"Alta"</formula>
    </cfRule>
    <cfRule type="cellIs" dxfId="866" priority="969" operator="equal">
      <formula>"Media"</formula>
    </cfRule>
    <cfRule type="cellIs" dxfId="865" priority="970" operator="equal">
      <formula>"Baja"</formula>
    </cfRule>
    <cfRule type="cellIs" dxfId="864" priority="971" operator="equal">
      <formula>"Muy Baja"</formula>
    </cfRule>
  </conditionalFormatting>
  <conditionalFormatting sqref="AB421:AB426">
    <cfRule type="cellIs" dxfId="863" priority="962" operator="equal">
      <formula>"Catastrófico"</formula>
    </cfRule>
    <cfRule type="cellIs" dxfId="862" priority="963" operator="equal">
      <formula>"Mayor"</formula>
    </cfRule>
    <cfRule type="cellIs" dxfId="861" priority="964" operator="equal">
      <formula>"Moderado"</formula>
    </cfRule>
    <cfRule type="cellIs" dxfId="860" priority="965" operator="equal">
      <formula>"Menor"</formula>
    </cfRule>
    <cfRule type="cellIs" dxfId="859" priority="966" operator="equal">
      <formula>"Leve"</formula>
    </cfRule>
  </conditionalFormatting>
  <conditionalFormatting sqref="AD421:AD426">
    <cfRule type="cellIs" dxfId="858" priority="958" operator="equal">
      <formula>"Extremo"</formula>
    </cfRule>
    <cfRule type="cellIs" dxfId="857" priority="959" operator="equal">
      <formula>"Alto"</formula>
    </cfRule>
    <cfRule type="cellIs" dxfId="856" priority="960" operator="equal">
      <formula>"Moderado"</formula>
    </cfRule>
    <cfRule type="cellIs" dxfId="855" priority="961" operator="equal">
      <formula>"Bajo"</formula>
    </cfRule>
  </conditionalFormatting>
  <conditionalFormatting sqref="Z427:Z432">
    <cfRule type="cellIs" dxfId="854" priority="953" operator="equal">
      <formula>"Muy Alta"</formula>
    </cfRule>
    <cfRule type="cellIs" dxfId="853" priority="954" operator="equal">
      <formula>"Alta"</formula>
    </cfRule>
    <cfRule type="cellIs" dxfId="852" priority="955" operator="equal">
      <formula>"Media"</formula>
    </cfRule>
    <cfRule type="cellIs" dxfId="851" priority="956" operator="equal">
      <formula>"Baja"</formula>
    </cfRule>
    <cfRule type="cellIs" dxfId="850" priority="957" operator="equal">
      <formula>"Muy Baja"</formula>
    </cfRule>
  </conditionalFormatting>
  <conditionalFormatting sqref="AB427:AB432">
    <cfRule type="cellIs" dxfId="849" priority="948" operator="equal">
      <formula>"Catastrófico"</formula>
    </cfRule>
    <cfRule type="cellIs" dxfId="848" priority="949" operator="equal">
      <formula>"Mayor"</formula>
    </cfRule>
    <cfRule type="cellIs" dxfId="847" priority="950" operator="equal">
      <formula>"Moderado"</formula>
    </cfRule>
    <cfRule type="cellIs" dxfId="846" priority="951" operator="equal">
      <formula>"Menor"</formula>
    </cfRule>
    <cfRule type="cellIs" dxfId="845" priority="952" operator="equal">
      <formula>"Leve"</formula>
    </cfRule>
  </conditionalFormatting>
  <conditionalFormatting sqref="AD427:AD432">
    <cfRule type="cellIs" dxfId="844" priority="944" operator="equal">
      <formula>"Extremo"</formula>
    </cfRule>
    <cfRule type="cellIs" dxfId="843" priority="945" operator="equal">
      <formula>"Alto"</formula>
    </cfRule>
    <cfRule type="cellIs" dxfId="842" priority="946" operator="equal">
      <formula>"Moderado"</formula>
    </cfRule>
    <cfRule type="cellIs" dxfId="841" priority="947" operator="equal">
      <formula>"Bajo"</formula>
    </cfRule>
  </conditionalFormatting>
  <conditionalFormatting sqref="M433">
    <cfRule type="cellIs" dxfId="840" priority="939" operator="equal">
      <formula>"Catastrófico"</formula>
    </cfRule>
    <cfRule type="cellIs" dxfId="839" priority="940" operator="equal">
      <formula>"Mayor"</formula>
    </cfRule>
    <cfRule type="cellIs" dxfId="838" priority="941" operator="equal">
      <formula>"Moderado"</formula>
    </cfRule>
    <cfRule type="cellIs" dxfId="837" priority="942" operator="equal">
      <formula>"Menor"</formula>
    </cfRule>
    <cfRule type="cellIs" dxfId="836" priority="943" operator="equal">
      <formula>"Leve"</formula>
    </cfRule>
  </conditionalFormatting>
  <conditionalFormatting sqref="O433">
    <cfRule type="cellIs" dxfId="835" priority="935" operator="equal">
      <formula>"Extremo"</formula>
    </cfRule>
    <cfRule type="cellIs" dxfId="834" priority="936" operator="equal">
      <formula>"Alto"</formula>
    </cfRule>
    <cfRule type="cellIs" dxfId="833" priority="937" operator="equal">
      <formula>"Moderado"</formula>
    </cfRule>
    <cfRule type="cellIs" dxfId="832" priority="938" operator="equal">
      <formula>"Bajo"</formula>
    </cfRule>
  </conditionalFormatting>
  <conditionalFormatting sqref="L433:L438">
    <cfRule type="containsText" dxfId="831" priority="934" operator="containsText" text="❌">
      <formula>NOT(ISERROR(SEARCH("❌",L433)))</formula>
    </cfRule>
  </conditionalFormatting>
  <conditionalFormatting sqref="I433">
    <cfRule type="cellIs" dxfId="830" priority="929" operator="equal">
      <formula>"Muy Alta"</formula>
    </cfRule>
    <cfRule type="cellIs" dxfId="829" priority="930" operator="equal">
      <formula>"Alta"</formula>
    </cfRule>
    <cfRule type="cellIs" dxfId="828" priority="931" operator="equal">
      <formula>"Media"</formula>
    </cfRule>
    <cfRule type="cellIs" dxfId="827" priority="932" operator="equal">
      <formula>"Baja"</formula>
    </cfRule>
    <cfRule type="cellIs" dxfId="826" priority="933" operator="equal">
      <formula>"Muy Baja"</formula>
    </cfRule>
  </conditionalFormatting>
  <conditionalFormatting sqref="Z433:Z438">
    <cfRule type="cellIs" dxfId="825" priority="924" operator="equal">
      <formula>"Muy Alta"</formula>
    </cfRule>
    <cfRule type="cellIs" dxfId="824" priority="925" operator="equal">
      <formula>"Alta"</formula>
    </cfRule>
    <cfRule type="cellIs" dxfId="823" priority="926" operator="equal">
      <formula>"Media"</formula>
    </cfRule>
    <cfRule type="cellIs" dxfId="822" priority="927" operator="equal">
      <formula>"Baja"</formula>
    </cfRule>
    <cfRule type="cellIs" dxfId="821" priority="928" operator="equal">
      <formula>"Muy Baja"</formula>
    </cfRule>
  </conditionalFormatting>
  <conditionalFormatting sqref="AB433:AB438">
    <cfRule type="cellIs" dxfId="820" priority="919" operator="equal">
      <formula>"Catastrófico"</formula>
    </cfRule>
    <cfRule type="cellIs" dxfId="819" priority="920" operator="equal">
      <formula>"Mayor"</formula>
    </cfRule>
    <cfRule type="cellIs" dxfId="818" priority="921" operator="equal">
      <formula>"Moderado"</formula>
    </cfRule>
    <cfRule type="cellIs" dxfId="817" priority="922" operator="equal">
      <formula>"Menor"</formula>
    </cfRule>
    <cfRule type="cellIs" dxfId="816" priority="923" operator="equal">
      <formula>"Leve"</formula>
    </cfRule>
  </conditionalFormatting>
  <conditionalFormatting sqref="AD433:AD438">
    <cfRule type="cellIs" dxfId="815" priority="915" operator="equal">
      <formula>"Extremo"</formula>
    </cfRule>
    <cfRule type="cellIs" dxfId="814" priority="916" operator="equal">
      <formula>"Alto"</formula>
    </cfRule>
    <cfRule type="cellIs" dxfId="813" priority="917" operator="equal">
      <formula>"Moderado"</formula>
    </cfRule>
    <cfRule type="cellIs" dxfId="812" priority="918" operator="equal">
      <formula>"Bajo"</formula>
    </cfRule>
  </conditionalFormatting>
  <conditionalFormatting sqref="O476">
    <cfRule type="cellIs" dxfId="811" priority="725" operator="equal">
      <formula>"Extremo"</formula>
    </cfRule>
    <cfRule type="cellIs" dxfId="810" priority="726" operator="equal">
      <formula>"Alto"</formula>
    </cfRule>
    <cfRule type="cellIs" dxfId="809" priority="727" operator="equal">
      <formula>"Moderado"</formula>
    </cfRule>
    <cfRule type="cellIs" dxfId="808" priority="728" operator="equal">
      <formula>"Bajo"</formula>
    </cfRule>
  </conditionalFormatting>
  <conditionalFormatting sqref="M451 M457 AB457:AB462">
    <cfRule type="cellIs" dxfId="807" priority="796" operator="equal">
      <formula>"Catastrófico"</formula>
    </cfRule>
  </conditionalFormatting>
  <conditionalFormatting sqref="M451 M457 AB457:AB462">
    <cfRule type="cellIs" dxfId="806" priority="797" operator="equal">
      <formula>"Mayor"</formula>
    </cfRule>
  </conditionalFormatting>
  <conditionalFormatting sqref="M451 M457 AB457:AB462">
    <cfRule type="cellIs" dxfId="805" priority="798" operator="equal">
      <formula>"Moderado"</formula>
    </cfRule>
  </conditionalFormatting>
  <conditionalFormatting sqref="M451 M457 AB457:AB462">
    <cfRule type="cellIs" dxfId="804" priority="799" operator="equal">
      <formula>"Menor"</formula>
    </cfRule>
  </conditionalFormatting>
  <conditionalFormatting sqref="M451 M457 AB457:AB462">
    <cfRule type="cellIs" dxfId="803" priority="800" operator="equal">
      <formula>"Leve"</formula>
    </cfRule>
  </conditionalFormatting>
  <conditionalFormatting sqref="O451 AD457:AD462">
    <cfRule type="cellIs" dxfId="802" priority="801" operator="equal">
      <formula>"Extremo"</formula>
    </cfRule>
  </conditionalFormatting>
  <conditionalFormatting sqref="O451 AD457:AD462">
    <cfRule type="cellIs" dxfId="801" priority="802" operator="equal">
      <formula>"Alto"</formula>
    </cfRule>
  </conditionalFormatting>
  <conditionalFormatting sqref="O451 AD457:AD462">
    <cfRule type="cellIs" dxfId="800" priority="803" operator="equal">
      <formula>"Moderado"</formula>
    </cfRule>
  </conditionalFormatting>
  <conditionalFormatting sqref="O451 AD457:AD462">
    <cfRule type="cellIs" dxfId="799" priority="804" operator="equal">
      <formula>"Bajo"</formula>
    </cfRule>
  </conditionalFormatting>
  <conditionalFormatting sqref="O457">
    <cfRule type="cellIs" dxfId="798" priority="805" operator="equal">
      <formula>"Extremo"</formula>
    </cfRule>
  </conditionalFormatting>
  <conditionalFormatting sqref="O457">
    <cfRule type="cellIs" dxfId="797" priority="806" operator="equal">
      <formula>"Alto"</formula>
    </cfRule>
  </conditionalFormatting>
  <conditionalFormatting sqref="O457">
    <cfRule type="cellIs" dxfId="796" priority="807" operator="equal">
      <formula>"Moderado"</formula>
    </cfRule>
  </conditionalFormatting>
  <conditionalFormatting sqref="O457">
    <cfRule type="cellIs" dxfId="795" priority="808" operator="equal">
      <formula>"Bajo"</formula>
    </cfRule>
  </conditionalFormatting>
  <conditionalFormatting sqref="L451:L462">
    <cfRule type="containsText" dxfId="794" priority="809" operator="containsText" text="❌">
      <formula>NOT(ISERROR(SEARCH(("❌"),(L451))))</formula>
    </cfRule>
  </conditionalFormatting>
  <conditionalFormatting sqref="Z457:Z462">
    <cfRule type="cellIs" dxfId="793" priority="810" operator="equal">
      <formula>"Muy Alta"</formula>
    </cfRule>
  </conditionalFormatting>
  <conditionalFormatting sqref="Z457:Z462">
    <cfRule type="cellIs" dxfId="792" priority="811" operator="equal">
      <formula>"Alta"</formula>
    </cfRule>
  </conditionalFormatting>
  <conditionalFormatting sqref="Z457:Z462">
    <cfRule type="cellIs" dxfId="791" priority="812" operator="equal">
      <formula>"Media"</formula>
    </cfRule>
  </conditionalFormatting>
  <conditionalFormatting sqref="Z457:Z462">
    <cfRule type="cellIs" dxfId="790" priority="813" operator="equal">
      <formula>"Baja"</formula>
    </cfRule>
  </conditionalFormatting>
  <conditionalFormatting sqref="Z457:Z462">
    <cfRule type="cellIs" dxfId="789" priority="814" operator="equal">
      <formula>"Muy Baja"</formula>
    </cfRule>
  </conditionalFormatting>
  <conditionalFormatting sqref="I457">
    <cfRule type="cellIs" dxfId="788" priority="815" operator="equal">
      <formula>"Muy Alta"</formula>
    </cfRule>
  </conditionalFormatting>
  <conditionalFormatting sqref="I457">
    <cfRule type="cellIs" dxfId="787" priority="816" operator="equal">
      <formula>"Alta"</formula>
    </cfRule>
  </conditionalFormatting>
  <conditionalFormatting sqref="I457">
    <cfRule type="cellIs" dxfId="786" priority="817" operator="equal">
      <formula>"Media"</formula>
    </cfRule>
  </conditionalFormatting>
  <conditionalFormatting sqref="I457">
    <cfRule type="cellIs" dxfId="785" priority="818" operator="equal">
      <formula>"Baja"</formula>
    </cfRule>
  </conditionalFormatting>
  <conditionalFormatting sqref="I457">
    <cfRule type="cellIs" dxfId="784" priority="819" operator="equal">
      <formula>"Muy Baja"</formula>
    </cfRule>
  </conditionalFormatting>
  <conditionalFormatting sqref="I451">
    <cfRule type="cellIs" dxfId="783" priority="820" operator="equal">
      <formula>"Muy Alta"</formula>
    </cfRule>
  </conditionalFormatting>
  <conditionalFormatting sqref="I451">
    <cfRule type="cellIs" dxfId="782" priority="821" operator="equal">
      <formula>"Alta"</formula>
    </cfRule>
  </conditionalFormatting>
  <conditionalFormatting sqref="I451">
    <cfRule type="cellIs" dxfId="781" priority="822" operator="equal">
      <formula>"Media"</formula>
    </cfRule>
  </conditionalFormatting>
  <conditionalFormatting sqref="I451">
    <cfRule type="cellIs" dxfId="780" priority="823" operator="equal">
      <formula>"Baja"</formula>
    </cfRule>
  </conditionalFormatting>
  <conditionalFormatting sqref="I451">
    <cfRule type="cellIs" dxfId="779" priority="824" operator="equal">
      <formula>"Muy Baja"</formula>
    </cfRule>
  </conditionalFormatting>
  <conditionalFormatting sqref="Z451:Z456">
    <cfRule type="cellIs" dxfId="778" priority="825" operator="equal">
      <formula>"Muy Alta"</formula>
    </cfRule>
  </conditionalFormatting>
  <conditionalFormatting sqref="Z451:Z456">
    <cfRule type="cellIs" dxfId="777" priority="826" operator="equal">
      <formula>"Alta"</formula>
    </cfRule>
  </conditionalFormatting>
  <conditionalFormatting sqref="Z451:Z456">
    <cfRule type="cellIs" dxfId="776" priority="827" operator="equal">
      <formula>"Media"</formula>
    </cfRule>
  </conditionalFormatting>
  <conditionalFormatting sqref="Z451:Z456">
    <cfRule type="cellIs" dxfId="775" priority="828" operator="equal">
      <formula>"Baja"</formula>
    </cfRule>
  </conditionalFormatting>
  <conditionalFormatting sqref="Z451:Z456">
    <cfRule type="cellIs" dxfId="774" priority="829" operator="equal">
      <formula>"Muy Baja"</formula>
    </cfRule>
  </conditionalFormatting>
  <conditionalFormatting sqref="AB451:AB456">
    <cfRule type="cellIs" dxfId="773" priority="830" operator="equal">
      <formula>"Catastrófico"</formula>
    </cfRule>
  </conditionalFormatting>
  <conditionalFormatting sqref="AB451:AB456">
    <cfRule type="cellIs" dxfId="772" priority="831" operator="equal">
      <formula>"Mayor"</formula>
    </cfRule>
  </conditionalFormatting>
  <conditionalFormatting sqref="AB451:AB456">
    <cfRule type="cellIs" dxfId="771" priority="832" operator="equal">
      <formula>"Moderado"</formula>
    </cfRule>
  </conditionalFormatting>
  <conditionalFormatting sqref="AB451:AB456">
    <cfRule type="cellIs" dxfId="770" priority="833" operator="equal">
      <formula>"Menor"</formula>
    </cfRule>
  </conditionalFormatting>
  <conditionalFormatting sqref="AB451:AB456">
    <cfRule type="cellIs" dxfId="769" priority="834" operator="equal">
      <formula>"Leve"</formula>
    </cfRule>
  </conditionalFormatting>
  <conditionalFormatting sqref="AD451:AD456">
    <cfRule type="cellIs" dxfId="768" priority="835" operator="equal">
      <formula>"Extremo"</formula>
    </cfRule>
  </conditionalFormatting>
  <conditionalFormatting sqref="AD451:AD456">
    <cfRule type="cellIs" dxfId="767" priority="836" operator="equal">
      <formula>"Alto"</formula>
    </cfRule>
  </conditionalFormatting>
  <conditionalFormatting sqref="AD451:AD456">
    <cfRule type="cellIs" dxfId="766" priority="837" operator="equal">
      <formula>"Moderado"</formula>
    </cfRule>
  </conditionalFormatting>
  <conditionalFormatting sqref="AD451:AD456">
    <cfRule type="cellIs" dxfId="765" priority="838" operator="equal">
      <formula>"Bajo"</formula>
    </cfRule>
  </conditionalFormatting>
  <conditionalFormatting sqref="M463">
    <cfRule type="cellIs" dxfId="764" priority="791" operator="equal">
      <formula>"Catastrófico"</formula>
    </cfRule>
    <cfRule type="cellIs" dxfId="763" priority="792" operator="equal">
      <formula>"Mayor"</formula>
    </cfRule>
    <cfRule type="cellIs" dxfId="762" priority="793" operator="equal">
      <formula>"Moderado"</formula>
    </cfRule>
    <cfRule type="cellIs" dxfId="761" priority="794" operator="equal">
      <formula>"Menor"</formula>
    </cfRule>
    <cfRule type="cellIs" dxfId="760" priority="795" operator="equal">
      <formula>"Leve"</formula>
    </cfRule>
  </conditionalFormatting>
  <conditionalFormatting sqref="O463">
    <cfRule type="cellIs" dxfId="759" priority="787" operator="equal">
      <formula>"Extremo"</formula>
    </cfRule>
    <cfRule type="cellIs" dxfId="758" priority="788" operator="equal">
      <formula>"Alto"</formula>
    </cfRule>
    <cfRule type="cellIs" dxfId="757" priority="789" operator="equal">
      <formula>"Moderado"</formula>
    </cfRule>
    <cfRule type="cellIs" dxfId="756" priority="790" operator="equal">
      <formula>"Bajo"</formula>
    </cfRule>
  </conditionalFormatting>
  <conditionalFormatting sqref="L463:L468">
    <cfRule type="containsText" dxfId="755" priority="786" operator="containsText" text="❌">
      <formula>NOT(ISERROR(SEARCH("❌",L463)))</formula>
    </cfRule>
  </conditionalFormatting>
  <conditionalFormatting sqref="I463">
    <cfRule type="cellIs" dxfId="754" priority="781" operator="equal">
      <formula>"Muy Alta"</formula>
    </cfRule>
    <cfRule type="cellIs" dxfId="753" priority="782" operator="equal">
      <formula>"Alta"</formula>
    </cfRule>
    <cfRule type="cellIs" dxfId="752" priority="783" operator="equal">
      <formula>"Media"</formula>
    </cfRule>
    <cfRule type="cellIs" dxfId="751" priority="784" operator="equal">
      <formula>"Baja"</formula>
    </cfRule>
    <cfRule type="cellIs" dxfId="750" priority="785" operator="equal">
      <formula>"Muy Baja"</formula>
    </cfRule>
  </conditionalFormatting>
  <conditionalFormatting sqref="Z463:Z466">
    <cfRule type="cellIs" dxfId="749" priority="776" operator="equal">
      <formula>"Muy Alta"</formula>
    </cfRule>
    <cfRule type="cellIs" dxfId="748" priority="777" operator="equal">
      <formula>"Alta"</formula>
    </cfRule>
    <cfRule type="cellIs" dxfId="747" priority="778" operator="equal">
      <formula>"Media"</formula>
    </cfRule>
    <cfRule type="cellIs" dxfId="746" priority="779" operator="equal">
      <formula>"Baja"</formula>
    </cfRule>
    <cfRule type="cellIs" dxfId="745" priority="780" operator="equal">
      <formula>"Muy Baja"</formula>
    </cfRule>
  </conditionalFormatting>
  <conditionalFormatting sqref="AB463:AB466">
    <cfRule type="cellIs" dxfId="744" priority="771" operator="equal">
      <formula>"Catastrófico"</formula>
    </cfRule>
    <cfRule type="cellIs" dxfId="743" priority="772" operator="equal">
      <formula>"Mayor"</formula>
    </cfRule>
    <cfRule type="cellIs" dxfId="742" priority="773" operator="equal">
      <formula>"Moderado"</formula>
    </cfRule>
    <cfRule type="cellIs" dxfId="741" priority="774" operator="equal">
      <formula>"Menor"</formula>
    </cfRule>
    <cfRule type="cellIs" dxfId="740" priority="775" operator="equal">
      <formula>"Leve"</formula>
    </cfRule>
  </conditionalFormatting>
  <conditionalFormatting sqref="AD463:AD466">
    <cfRule type="cellIs" dxfId="739" priority="767" operator="equal">
      <formula>"Extremo"</formula>
    </cfRule>
    <cfRule type="cellIs" dxfId="738" priority="768" operator="equal">
      <formula>"Alto"</formula>
    </cfRule>
    <cfRule type="cellIs" dxfId="737" priority="769" operator="equal">
      <formula>"Moderado"</formula>
    </cfRule>
    <cfRule type="cellIs" dxfId="736" priority="770" operator="equal">
      <formula>"Bajo"</formula>
    </cfRule>
  </conditionalFormatting>
  <conditionalFormatting sqref="Z467:Z468">
    <cfRule type="cellIs" dxfId="735" priority="761" operator="equal">
      <formula>"Muy Alta"</formula>
    </cfRule>
    <cfRule type="cellIs" dxfId="734" priority="762" operator="equal">
      <formula>"Alta"</formula>
    </cfRule>
    <cfRule type="cellIs" dxfId="733" priority="763" operator="equal">
      <formula>"Media"</formula>
    </cfRule>
    <cfRule type="cellIs" dxfId="732" priority="764" operator="equal">
      <formula>"Baja"</formula>
    </cfRule>
    <cfRule type="cellIs" dxfId="731" priority="765" operator="equal">
      <formula>"Muy Baja"</formula>
    </cfRule>
  </conditionalFormatting>
  <conditionalFormatting sqref="AB467:AB468">
    <cfRule type="cellIs" dxfId="730" priority="756" operator="equal">
      <formula>"Catastrófico"</formula>
    </cfRule>
    <cfRule type="cellIs" dxfId="729" priority="757" operator="equal">
      <formula>"Mayor"</formula>
    </cfRule>
    <cfRule type="cellIs" dxfId="728" priority="758" operator="equal">
      <formula>"Moderado"</formula>
    </cfRule>
    <cfRule type="cellIs" dxfId="727" priority="759" operator="equal">
      <formula>"Menor"</formula>
    </cfRule>
    <cfRule type="cellIs" dxfId="726" priority="760" operator="equal">
      <formula>"Leve"</formula>
    </cfRule>
  </conditionalFormatting>
  <conditionalFormatting sqref="AD467:AD468">
    <cfRule type="cellIs" dxfId="725" priority="752" operator="equal">
      <formula>"Extremo"</formula>
    </cfRule>
    <cfRule type="cellIs" dxfId="724" priority="753" operator="equal">
      <formula>"Alto"</formula>
    </cfRule>
    <cfRule type="cellIs" dxfId="723" priority="754" operator="equal">
      <formula>"Moderado"</formula>
    </cfRule>
    <cfRule type="cellIs" dxfId="722" priority="755" operator="equal">
      <formula>"Bajo"</formula>
    </cfRule>
  </conditionalFormatting>
  <conditionalFormatting sqref="M469 M476">
    <cfRule type="cellIs" dxfId="721" priority="733" operator="equal">
      <formula>"Catastrófico"</formula>
    </cfRule>
    <cfRule type="cellIs" dxfId="720" priority="734" operator="equal">
      <formula>"Mayor"</formula>
    </cfRule>
    <cfRule type="cellIs" dxfId="719" priority="735" operator="equal">
      <formula>"Moderado"</formula>
    </cfRule>
    <cfRule type="cellIs" dxfId="718" priority="736" operator="equal">
      <formula>"Menor"</formula>
    </cfRule>
    <cfRule type="cellIs" dxfId="717" priority="737" operator="equal">
      <formula>"Leve"</formula>
    </cfRule>
  </conditionalFormatting>
  <conditionalFormatting sqref="O469">
    <cfRule type="cellIs" dxfId="716" priority="729" operator="equal">
      <formula>"Extremo"</formula>
    </cfRule>
    <cfRule type="cellIs" dxfId="715" priority="730" operator="equal">
      <formula>"Alto"</formula>
    </cfRule>
    <cfRule type="cellIs" dxfId="714" priority="731" operator="equal">
      <formula>"Moderado"</formula>
    </cfRule>
    <cfRule type="cellIs" dxfId="713" priority="732" operator="equal">
      <formula>"Bajo"</formula>
    </cfRule>
  </conditionalFormatting>
  <conditionalFormatting sqref="L469:L480">
    <cfRule type="containsText" dxfId="712" priority="724" operator="containsText" text="❌">
      <formula>NOT(ISERROR(SEARCH("❌",L469)))</formula>
    </cfRule>
  </conditionalFormatting>
  <conditionalFormatting sqref="I476">
    <cfRule type="cellIs" dxfId="711" priority="719" operator="equal">
      <formula>"Muy Alta"</formula>
    </cfRule>
    <cfRule type="cellIs" dxfId="710" priority="720" operator="equal">
      <formula>"Alta"</formula>
    </cfRule>
    <cfRule type="cellIs" dxfId="709" priority="721" operator="equal">
      <formula>"Media"</formula>
    </cfRule>
    <cfRule type="cellIs" dxfId="708" priority="722" operator="equal">
      <formula>"Baja"</formula>
    </cfRule>
    <cfRule type="cellIs" dxfId="707" priority="723" operator="equal">
      <formula>"Muy Baja"</formula>
    </cfRule>
  </conditionalFormatting>
  <conditionalFormatting sqref="I469">
    <cfRule type="cellIs" dxfId="706" priority="714" operator="equal">
      <formula>"Muy Alta"</formula>
    </cfRule>
    <cfRule type="cellIs" dxfId="705" priority="715" operator="equal">
      <formula>"Alta"</formula>
    </cfRule>
    <cfRule type="cellIs" dxfId="704" priority="716" operator="equal">
      <formula>"Media"</formula>
    </cfRule>
    <cfRule type="cellIs" dxfId="703" priority="717" operator="equal">
      <formula>"Baja"</formula>
    </cfRule>
    <cfRule type="cellIs" dxfId="702" priority="718" operator="equal">
      <formula>"Muy Baja"</formula>
    </cfRule>
  </conditionalFormatting>
  <conditionalFormatting sqref="Z469:Z472">
    <cfRule type="cellIs" dxfId="701" priority="709" operator="equal">
      <formula>"Muy Alta"</formula>
    </cfRule>
    <cfRule type="cellIs" dxfId="700" priority="710" operator="equal">
      <formula>"Alta"</formula>
    </cfRule>
    <cfRule type="cellIs" dxfId="699" priority="711" operator="equal">
      <formula>"Media"</formula>
    </cfRule>
    <cfRule type="cellIs" dxfId="698" priority="712" operator="equal">
      <formula>"Baja"</formula>
    </cfRule>
    <cfRule type="cellIs" dxfId="697" priority="713" operator="equal">
      <formula>"Muy Baja"</formula>
    </cfRule>
  </conditionalFormatting>
  <conditionalFormatting sqref="AB469:AB472">
    <cfRule type="cellIs" dxfId="696" priority="704" operator="equal">
      <formula>"Catastrófico"</formula>
    </cfRule>
    <cfRule type="cellIs" dxfId="695" priority="705" operator="equal">
      <formula>"Mayor"</formula>
    </cfRule>
    <cfRule type="cellIs" dxfId="694" priority="706" operator="equal">
      <formula>"Moderado"</formula>
    </cfRule>
    <cfRule type="cellIs" dxfId="693" priority="707" operator="equal">
      <formula>"Menor"</formula>
    </cfRule>
    <cfRule type="cellIs" dxfId="692" priority="708" operator="equal">
      <formula>"Leve"</formula>
    </cfRule>
  </conditionalFormatting>
  <conditionalFormatting sqref="AD469:AD472">
    <cfRule type="cellIs" dxfId="691" priority="700" operator="equal">
      <formula>"Extremo"</formula>
    </cfRule>
    <cfRule type="cellIs" dxfId="690" priority="701" operator="equal">
      <formula>"Alto"</formula>
    </cfRule>
    <cfRule type="cellIs" dxfId="689" priority="702" operator="equal">
      <formula>"Moderado"</formula>
    </cfRule>
    <cfRule type="cellIs" dxfId="688" priority="703" operator="equal">
      <formula>"Bajo"</formula>
    </cfRule>
  </conditionalFormatting>
  <conditionalFormatting sqref="Z473:Z475">
    <cfRule type="cellIs" dxfId="687" priority="695" operator="equal">
      <formula>"Muy Alta"</formula>
    </cfRule>
    <cfRule type="cellIs" dxfId="686" priority="696" operator="equal">
      <formula>"Alta"</formula>
    </cfRule>
    <cfRule type="cellIs" dxfId="685" priority="697" operator="equal">
      <formula>"Media"</formula>
    </cfRule>
    <cfRule type="cellIs" dxfId="684" priority="698" operator="equal">
      <formula>"Baja"</formula>
    </cfRule>
    <cfRule type="cellIs" dxfId="683" priority="699" operator="equal">
      <formula>"Muy Baja"</formula>
    </cfRule>
  </conditionalFormatting>
  <conditionalFormatting sqref="AB473:AB475">
    <cfRule type="cellIs" dxfId="682" priority="690" operator="equal">
      <formula>"Catastrófico"</formula>
    </cfRule>
    <cfRule type="cellIs" dxfId="681" priority="691" operator="equal">
      <formula>"Mayor"</formula>
    </cfRule>
    <cfRule type="cellIs" dxfId="680" priority="692" operator="equal">
      <formula>"Moderado"</formula>
    </cfRule>
    <cfRule type="cellIs" dxfId="679" priority="693" operator="equal">
      <formula>"Menor"</formula>
    </cfRule>
    <cfRule type="cellIs" dxfId="678" priority="694" operator="equal">
      <formula>"Leve"</formula>
    </cfRule>
  </conditionalFormatting>
  <conditionalFormatting sqref="AD473:AD475">
    <cfRule type="cellIs" dxfId="677" priority="686" operator="equal">
      <formula>"Extremo"</formula>
    </cfRule>
    <cfRule type="cellIs" dxfId="676" priority="687" operator="equal">
      <formula>"Alto"</formula>
    </cfRule>
    <cfRule type="cellIs" dxfId="675" priority="688" operator="equal">
      <formula>"Moderado"</formula>
    </cfRule>
    <cfRule type="cellIs" dxfId="674" priority="689" operator="equal">
      <formula>"Bajo"</formula>
    </cfRule>
  </conditionalFormatting>
  <conditionalFormatting sqref="L481:L482">
    <cfRule type="containsText" dxfId="673" priority="685" operator="containsText" text="❌">
      <formula>NOT(ISERROR(SEARCH("❌",L481)))</formula>
    </cfRule>
  </conditionalFormatting>
  <conditionalFormatting sqref="Z476:Z479">
    <cfRule type="cellIs" dxfId="672" priority="680" operator="equal">
      <formula>"Muy Alta"</formula>
    </cfRule>
    <cfRule type="cellIs" dxfId="671" priority="681" operator="equal">
      <formula>"Alta"</formula>
    </cfRule>
    <cfRule type="cellIs" dxfId="670" priority="682" operator="equal">
      <formula>"Media"</formula>
    </cfRule>
    <cfRule type="cellIs" dxfId="669" priority="683" operator="equal">
      <formula>"Baja"</formula>
    </cfRule>
    <cfRule type="cellIs" dxfId="668" priority="684" operator="equal">
      <formula>"Muy Baja"</formula>
    </cfRule>
  </conditionalFormatting>
  <conditionalFormatting sqref="AB476:AB479">
    <cfRule type="cellIs" dxfId="667" priority="675" operator="equal">
      <formula>"Catastrófico"</formula>
    </cfRule>
    <cfRule type="cellIs" dxfId="666" priority="676" operator="equal">
      <formula>"Mayor"</formula>
    </cfRule>
    <cfRule type="cellIs" dxfId="665" priority="677" operator="equal">
      <formula>"Moderado"</formula>
    </cfRule>
    <cfRule type="cellIs" dxfId="664" priority="678" operator="equal">
      <formula>"Menor"</formula>
    </cfRule>
    <cfRule type="cellIs" dxfId="663" priority="679" operator="equal">
      <formula>"Leve"</formula>
    </cfRule>
  </conditionalFormatting>
  <conditionalFormatting sqref="AD476:AD479">
    <cfRule type="cellIs" dxfId="662" priority="671" operator="equal">
      <formula>"Extremo"</formula>
    </cfRule>
    <cfRule type="cellIs" dxfId="661" priority="672" operator="equal">
      <formula>"Alto"</formula>
    </cfRule>
    <cfRule type="cellIs" dxfId="660" priority="673" operator="equal">
      <formula>"Moderado"</formula>
    </cfRule>
    <cfRule type="cellIs" dxfId="659" priority="674" operator="equal">
      <formula>"Bajo"</formula>
    </cfRule>
  </conditionalFormatting>
  <conditionalFormatting sqref="Z480:Z482">
    <cfRule type="cellIs" dxfId="658" priority="666" operator="equal">
      <formula>"Muy Alta"</formula>
    </cfRule>
    <cfRule type="cellIs" dxfId="657" priority="667" operator="equal">
      <formula>"Alta"</formula>
    </cfRule>
    <cfRule type="cellIs" dxfId="656" priority="668" operator="equal">
      <formula>"Media"</formula>
    </cfRule>
    <cfRule type="cellIs" dxfId="655" priority="669" operator="equal">
      <formula>"Baja"</formula>
    </cfRule>
    <cfRule type="cellIs" dxfId="654" priority="670" operator="equal">
      <formula>"Muy Baja"</formula>
    </cfRule>
  </conditionalFormatting>
  <conditionalFormatting sqref="AB480:AB482">
    <cfRule type="cellIs" dxfId="653" priority="661" operator="equal">
      <formula>"Catastrófico"</formula>
    </cfRule>
    <cfRule type="cellIs" dxfId="652" priority="662" operator="equal">
      <formula>"Mayor"</formula>
    </cfRule>
    <cfRule type="cellIs" dxfId="651" priority="663" operator="equal">
      <formula>"Moderado"</formula>
    </cfRule>
    <cfRule type="cellIs" dxfId="650" priority="664" operator="equal">
      <formula>"Menor"</formula>
    </cfRule>
    <cfRule type="cellIs" dxfId="649" priority="665" operator="equal">
      <formula>"Leve"</formula>
    </cfRule>
  </conditionalFormatting>
  <conditionalFormatting sqref="AD480:AD482">
    <cfRule type="cellIs" dxfId="648" priority="657" operator="equal">
      <formula>"Extremo"</formula>
    </cfRule>
    <cfRule type="cellIs" dxfId="647" priority="658" operator="equal">
      <formula>"Alto"</formula>
    </cfRule>
    <cfRule type="cellIs" dxfId="646" priority="659" operator="equal">
      <formula>"Moderado"</formula>
    </cfRule>
    <cfRule type="cellIs" dxfId="645" priority="660" operator="equal">
      <formula>"Bajo"</formula>
    </cfRule>
  </conditionalFormatting>
  <conditionalFormatting sqref="M439 M445">
    <cfRule type="cellIs" dxfId="644" priority="652" operator="equal">
      <formula>"Catastrófico"</formula>
    </cfRule>
    <cfRule type="cellIs" dxfId="643" priority="653" operator="equal">
      <formula>"Mayor"</formula>
    </cfRule>
    <cfRule type="cellIs" dxfId="642" priority="654" operator="equal">
      <formula>"Moderado"</formula>
    </cfRule>
    <cfRule type="cellIs" dxfId="641" priority="655" operator="equal">
      <formula>"Menor"</formula>
    </cfRule>
    <cfRule type="cellIs" dxfId="640" priority="656" operator="equal">
      <formula>"Leve"</formula>
    </cfRule>
  </conditionalFormatting>
  <conditionalFormatting sqref="O439">
    <cfRule type="cellIs" dxfId="639" priority="648" operator="equal">
      <formula>"Extremo"</formula>
    </cfRule>
    <cfRule type="cellIs" dxfId="638" priority="649" operator="equal">
      <formula>"Alto"</formula>
    </cfRule>
    <cfRule type="cellIs" dxfId="637" priority="650" operator="equal">
      <formula>"Moderado"</formula>
    </cfRule>
    <cfRule type="cellIs" dxfId="636" priority="651" operator="equal">
      <formula>"Bajo"</formula>
    </cfRule>
  </conditionalFormatting>
  <conditionalFormatting sqref="O445">
    <cfRule type="cellIs" dxfId="635" priority="644" operator="equal">
      <formula>"Extremo"</formula>
    </cfRule>
    <cfRule type="cellIs" dxfId="634" priority="645" operator="equal">
      <formula>"Alto"</formula>
    </cfRule>
    <cfRule type="cellIs" dxfId="633" priority="646" operator="equal">
      <formula>"Moderado"</formula>
    </cfRule>
    <cfRule type="cellIs" dxfId="632" priority="647" operator="equal">
      <formula>"Bajo"</formula>
    </cfRule>
  </conditionalFormatting>
  <conditionalFormatting sqref="L439:L450">
    <cfRule type="containsText" dxfId="631" priority="643" operator="containsText" text="❌">
      <formula>NOT(ISERROR(SEARCH("❌",L439)))</formula>
    </cfRule>
  </conditionalFormatting>
  <conditionalFormatting sqref="Z445:Z450">
    <cfRule type="cellIs" dxfId="630" priority="638" operator="equal">
      <formula>"Muy Alta"</formula>
    </cfRule>
    <cfRule type="cellIs" dxfId="629" priority="639" operator="equal">
      <formula>"Alta"</formula>
    </cfRule>
    <cfRule type="cellIs" dxfId="628" priority="640" operator="equal">
      <formula>"Media"</formula>
    </cfRule>
    <cfRule type="cellIs" dxfId="627" priority="641" operator="equal">
      <formula>"Baja"</formula>
    </cfRule>
    <cfRule type="cellIs" dxfId="626" priority="642" operator="equal">
      <formula>"Muy Baja"</formula>
    </cfRule>
  </conditionalFormatting>
  <conditionalFormatting sqref="AB445:AB450">
    <cfRule type="cellIs" dxfId="625" priority="633" operator="equal">
      <formula>"Catastrófico"</formula>
    </cfRule>
    <cfRule type="cellIs" dxfId="624" priority="634" operator="equal">
      <formula>"Mayor"</formula>
    </cfRule>
    <cfRule type="cellIs" dxfId="623" priority="635" operator="equal">
      <formula>"Moderado"</formula>
    </cfRule>
    <cfRule type="cellIs" dxfId="622" priority="636" operator="equal">
      <formula>"Menor"</formula>
    </cfRule>
    <cfRule type="cellIs" dxfId="621" priority="637" operator="equal">
      <formula>"Leve"</formula>
    </cfRule>
  </conditionalFormatting>
  <conditionalFormatting sqref="AD445:AD450">
    <cfRule type="cellIs" dxfId="620" priority="629" operator="equal">
      <formula>"Extremo"</formula>
    </cfRule>
    <cfRule type="cellIs" dxfId="619" priority="630" operator="equal">
      <formula>"Alto"</formula>
    </cfRule>
    <cfRule type="cellIs" dxfId="618" priority="631" operator="equal">
      <formula>"Moderado"</formula>
    </cfRule>
    <cfRule type="cellIs" dxfId="617" priority="632" operator="equal">
      <formula>"Bajo"</formula>
    </cfRule>
  </conditionalFormatting>
  <conditionalFormatting sqref="I445">
    <cfRule type="cellIs" dxfId="616" priority="624" operator="equal">
      <formula>"Muy Alta"</formula>
    </cfRule>
    <cfRule type="cellIs" dxfId="615" priority="625" operator="equal">
      <formula>"Alta"</formula>
    </cfRule>
    <cfRule type="cellIs" dxfId="614" priority="626" operator="equal">
      <formula>"Media"</formula>
    </cfRule>
    <cfRule type="cellIs" dxfId="613" priority="627" operator="equal">
      <formula>"Baja"</formula>
    </cfRule>
    <cfRule type="cellIs" dxfId="612" priority="628" operator="equal">
      <formula>"Muy Baja"</formula>
    </cfRule>
  </conditionalFormatting>
  <conditionalFormatting sqref="I439">
    <cfRule type="cellIs" dxfId="611" priority="619" operator="equal">
      <formula>"Muy Alta"</formula>
    </cfRule>
    <cfRule type="cellIs" dxfId="610" priority="620" operator="equal">
      <formula>"Alta"</formula>
    </cfRule>
    <cfRule type="cellIs" dxfId="609" priority="621" operator="equal">
      <formula>"Media"</formula>
    </cfRule>
    <cfRule type="cellIs" dxfId="608" priority="622" operator="equal">
      <formula>"Baja"</formula>
    </cfRule>
    <cfRule type="cellIs" dxfId="607" priority="623" operator="equal">
      <formula>"Muy Baja"</formula>
    </cfRule>
  </conditionalFormatting>
  <conditionalFormatting sqref="Z439:Z444">
    <cfRule type="cellIs" dxfId="606" priority="614" operator="equal">
      <formula>"Muy Alta"</formula>
    </cfRule>
    <cfRule type="cellIs" dxfId="605" priority="615" operator="equal">
      <formula>"Alta"</formula>
    </cfRule>
    <cfRule type="cellIs" dxfId="604" priority="616" operator="equal">
      <formula>"Media"</formula>
    </cfRule>
    <cfRule type="cellIs" dxfId="603" priority="617" operator="equal">
      <formula>"Baja"</formula>
    </cfRule>
    <cfRule type="cellIs" dxfId="602" priority="618" operator="equal">
      <formula>"Muy Baja"</formula>
    </cfRule>
  </conditionalFormatting>
  <conditionalFormatting sqref="AB439:AB444">
    <cfRule type="cellIs" dxfId="601" priority="609" operator="equal">
      <formula>"Catastrófico"</formula>
    </cfRule>
    <cfRule type="cellIs" dxfId="600" priority="610" operator="equal">
      <formula>"Mayor"</formula>
    </cfRule>
    <cfRule type="cellIs" dxfId="599" priority="611" operator="equal">
      <formula>"Moderado"</formula>
    </cfRule>
    <cfRule type="cellIs" dxfId="598" priority="612" operator="equal">
      <formula>"Menor"</formula>
    </cfRule>
    <cfRule type="cellIs" dxfId="597" priority="613" operator="equal">
      <formula>"Leve"</formula>
    </cfRule>
  </conditionalFormatting>
  <conditionalFormatting sqref="AD439:AD444">
    <cfRule type="cellIs" dxfId="596" priority="605" operator="equal">
      <formula>"Extremo"</formula>
    </cfRule>
    <cfRule type="cellIs" dxfId="595" priority="606" operator="equal">
      <formula>"Alto"</formula>
    </cfRule>
    <cfRule type="cellIs" dxfId="594" priority="607" operator="equal">
      <formula>"Moderado"</formula>
    </cfRule>
    <cfRule type="cellIs" dxfId="593" priority="608" operator="equal">
      <formula>"Bajo"</formula>
    </cfRule>
  </conditionalFormatting>
  <conditionalFormatting sqref="M483 M489">
    <cfRule type="cellIs" dxfId="592" priority="600" operator="equal">
      <formula>"Catastrófico"</formula>
    </cfRule>
    <cfRule type="cellIs" dxfId="591" priority="601" operator="equal">
      <formula>"Mayor"</formula>
    </cfRule>
    <cfRule type="cellIs" dxfId="590" priority="602" operator="equal">
      <formula>"Moderado"</formula>
    </cfRule>
    <cfRule type="cellIs" dxfId="589" priority="603" operator="equal">
      <formula>"Menor"</formula>
    </cfRule>
    <cfRule type="cellIs" dxfId="588" priority="604" operator="equal">
      <formula>"Leve"</formula>
    </cfRule>
  </conditionalFormatting>
  <conditionalFormatting sqref="O483">
    <cfRule type="cellIs" dxfId="587" priority="596" operator="equal">
      <formula>"Extremo"</formula>
    </cfRule>
    <cfRule type="cellIs" dxfId="586" priority="597" operator="equal">
      <formula>"Alto"</formula>
    </cfRule>
    <cfRule type="cellIs" dxfId="585" priority="598" operator="equal">
      <formula>"Moderado"</formula>
    </cfRule>
    <cfRule type="cellIs" dxfId="584" priority="599" operator="equal">
      <formula>"Bajo"</formula>
    </cfRule>
  </conditionalFormatting>
  <conditionalFormatting sqref="O489">
    <cfRule type="cellIs" dxfId="583" priority="592" operator="equal">
      <formula>"Extremo"</formula>
    </cfRule>
    <cfRule type="cellIs" dxfId="582" priority="593" operator="equal">
      <formula>"Alto"</formula>
    </cfRule>
    <cfRule type="cellIs" dxfId="581" priority="594" operator="equal">
      <formula>"Moderado"</formula>
    </cfRule>
    <cfRule type="cellIs" dxfId="580" priority="595" operator="equal">
      <formula>"Bajo"</formula>
    </cfRule>
  </conditionalFormatting>
  <conditionalFormatting sqref="L483:L493">
    <cfRule type="containsText" dxfId="579" priority="591" operator="containsText" text="❌">
      <formula>NOT(ISERROR(SEARCH("❌",L483)))</formula>
    </cfRule>
  </conditionalFormatting>
  <conditionalFormatting sqref="I489">
    <cfRule type="cellIs" dxfId="578" priority="586" operator="equal">
      <formula>"Muy Alta"</formula>
    </cfRule>
    <cfRule type="cellIs" dxfId="577" priority="587" operator="equal">
      <formula>"Alta"</formula>
    </cfRule>
    <cfRule type="cellIs" dxfId="576" priority="588" operator="equal">
      <formula>"Media"</formula>
    </cfRule>
    <cfRule type="cellIs" dxfId="575" priority="589" operator="equal">
      <formula>"Baja"</formula>
    </cfRule>
    <cfRule type="cellIs" dxfId="574" priority="590" operator="equal">
      <formula>"Muy Baja"</formula>
    </cfRule>
  </conditionalFormatting>
  <conditionalFormatting sqref="I483">
    <cfRule type="cellIs" dxfId="573" priority="581" operator="equal">
      <formula>"Muy Alta"</formula>
    </cfRule>
    <cfRule type="cellIs" dxfId="572" priority="582" operator="equal">
      <formula>"Alta"</formula>
    </cfRule>
    <cfRule type="cellIs" dxfId="571" priority="583" operator="equal">
      <formula>"Media"</formula>
    </cfRule>
    <cfRule type="cellIs" dxfId="570" priority="584" operator="equal">
      <formula>"Baja"</formula>
    </cfRule>
    <cfRule type="cellIs" dxfId="569" priority="585" operator="equal">
      <formula>"Muy Baja"</formula>
    </cfRule>
  </conditionalFormatting>
  <conditionalFormatting sqref="Z483:Z486">
    <cfRule type="cellIs" dxfId="568" priority="576" operator="equal">
      <formula>"Muy Alta"</formula>
    </cfRule>
    <cfRule type="cellIs" dxfId="567" priority="577" operator="equal">
      <formula>"Alta"</formula>
    </cfRule>
    <cfRule type="cellIs" dxfId="566" priority="578" operator="equal">
      <formula>"Media"</formula>
    </cfRule>
    <cfRule type="cellIs" dxfId="565" priority="579" operator="equal">
      <formula>"Baja"</formula>
    </cfRule>
    <cfRule type="cellIs" dxfId="564" priority="580" operator="equal">
      <formula>"Muy Baja"</formula>
    </cfRule>
  </conditionalFormatting>
  <conditionalFormatting sqref="AB483:AB486">
    <cfRule type="cellIs" dxfId="563" priority="571" operator="equal">
      <formula>"Catastrófico"</formula>
    </cfRule>
    <cfRule type="cellIs" dxfId="562" priority="572" operator="equal">
      <formula>"Mayor"</formula>
    </cfRule>
    <cfRule type="cellIs" dxfId="561" priority="573" operator="equal">
      <formula>"Moderado"</formula>
    </cfRule>
    <cfRule type="cellIs" dxfId="560" priority="574" operator="equal">
      <formula>"Menor"</formula>
    </cfRule>
    <cfRule type="cellIs" dxfId="559" priority="575" operator="equal">
      <formula>"Leve"</formula>
    </cfRule>
  </conditionalFormatting>
  <conditionalFormatting sqref="AD483:AD486">
    <cfRule type="cellIs" dxfId="558" priority="567" operator="equal">
      <formula>"Extremo"</formula>
    </cfRule>
    <cfRule type="cellIs" dxfId="557" priority="568" operator="equal">
      <formula>"Alto"</formula>
    </cfRule>
    <cfRule type="cellIs" dxfId="556" priority="569" operator="equal">
      <formula>"Moderado"</formula>
    </cfRule>
    <cfRule type="cellIs" dxfId="555" priority="570" operator="equal">
      <formula>"Bajo"</formula>
    </cfRule>
  </conditionalFormatting>
  <conditionalFormatting sqref="Z487:Z488">
    <cfRule type="cellIs" dxfId="554" priority="562" operator="equal">
      <formula>"Muy Alta"</formula>
    </cfRule>
    <cfRule type="cellIs" dxfId="553" priority="563" operator="equal">
      <formula>"Alta"</formula>
    </cfRule>
    <cfRule type="cellIs" dxfId="552" priority="564" operator="equal">
      <formula>"Media"</formula>
    </cfRule>
    <cfRule type="cellIs" dxfId="551" priority="565" operator="equal">
      <formula>"Baja"</formula>
    </cfRule>
    <cfRule type="cellIs" dxfId="550" priority="566" operator="equal">
      <formula>"Muy Baja"</formula>
    </cfRule>
  </conditionalFormatting>
  <conditionalFormatting sqref="AB487:AB488">
    <cfRule type="cellIs" dxfId="549" priority="557" operator="equal">
      <formula>"Catastrófico"</formula>
    </cfRule>
    <cfRule type="cellIs" dxfId="548" priority="558" operator="equal">
      <formula>"Mayor"</formula>
    </cfRule>
    <cfRule type="cellIs" dxfId="547" priority="559" operator="equal">
      <formula>"Moderado"</formula>
    </cfRule>
    <cfRule type="cellIs" dxfId="546" priority="560" operator="equal">
      <formula>"Menor"</formula>
    </cfRule>
    <cfRule type="cellIs" dxfId="545" priority="561" operator="equal">
      <formula>"Leve"</formula>
    </cfRule>
  </conditionalFormatting>
  <conditionalFormatting sqref="AD487:AD488">
    <cfRule type="cellIs" dxfId="544" priority="553" operator="equal">
      <formula>"Extremo"</formula>
    </cfRule>
    <cfRule type="cellIs" dxfId="543" priority="554" operator="equal">
      <formula>"Alto"</formula>
    </cfRule>
    <cfRule type="cellIs" dxfId="542" priority="555" operator="equal">
      <formula>"Moderado"</formula>
    </cfRule>
    <cfRule type="cellIs" dxfId="541" priority="556" operator="equal">
      <formula>"Bajo"</formula>
    </cfRule>
  </conditionalFormatting>
  <conditionalFormatting sqref="L494">
    <cfRule type="containsText" dxfId="540" priority="552" operator="containsText" text="❌">
      <formula>NOT(ISERROR(SEARCH("❌",L494)))</formula>
    </cfRule>
  </conditionalFormatting>
  <conditionalFormatting sqref="Z489:Z492">
    <cfRule type="cellIs" dxfId="539" priority="547" operator="equal">
      <formula>"Muy Alta"</formula>
    </cfRule>
    <cfRule type="cellIs" dxfId="538" priority="548" operator="equal">
      <formula>"Alta"</formula>
    </cfRule>
    <cfRule type="cellIs" dxfId="537" priority="549" operator="equal">
      <formula>"Media"</formula>
    </cfRule>
    <cfRule type="cellIs" dxfId="536" priority="550" operator="equal">
      <formula>"Baja"</formula>
    </cfRule>
    <cfRule type="cellIs" dxfId="535" priority="551" operator="equal">
      <formula>"Muy Baja"</formula>
    </cfRule>
  </conditionalFormatting>
  <conditionalFormatting sqref="AB489:AB492">
    <cfRule type="cellIs" dxfId="534" priority="542" operator="equal">
      <formula>"Catastrófico"</formula>
    </cfRule>
    <cfRule type="cellIs" dxfId="533" priority="543" operator="equal">
      <formula>"Mayor"</formula>
    </cfRule>
    <cfRule type="cellIs" dxfId="532" priority="544" operator="equal">
      <formula>"Moderado"</formula>
    </cfRule>
    <cfRule type="cellIs" dxfId="531" priority="545" operator="equal">
      <formula>"Menor"</formula>
    </cfRule>
    <cfRule type="cellIs" dxfId="530" priority="546" operator="equal">
      <formula>"Leve"</formula>
    </cfRule>
  </conditionalFormatting>
  <conditionalFormatting sqref="AD489:AD492">
    <cfRule type="cellIs" dxfId="529" priority="538" operator="equal">
      <formula>"Extremo"</formula>
    </cfRule>
    <cfRule type="cellIs" dxfId="528" priority="539" operator="equal">
      <formula>"Alto"</formula>
    </cfRule>
    <cfRule type="cellIs" dxfId="527" priority="540" operator="equal">
      <formula>"Moderado"</formula>
    </cfRule>
    <cfRule type="cellIs" dxfId="526" priority="541" operator="equal">
      <formula>"Bajo"</formula>
    </cfRule>
  </conditionalFormatting>
  <conditionalFormatting sqref="Z493:Z494">
    <cfRule type="cellIs" dxfId="525" priority="533" operator="equal">
      <formula>"Muy Alta"</formula>
    </cfRule>
    <cfRule type="cellIs" dxfId="524" priority="534" operator="equal">
      <formula>"Alta"</formula>
    </cfRule>
    <cfRule type="cellIs" dxfId="523" priority="535" operator="equal">
      <formula>"Media"</formula>
    </cfRule>
    <cfRule type="cellIs" dxfId="522" priority="536" operator="equal">
      <formula>"Baja"</formula>
    </cfRule>
    <cfRule type="cellIs" dxfId="521" priority="537" operator="equal">
      <formula>"Muy Baja"</formula>
    </cfRule>
  </conditionalFormatting>
  <conditionalFormatting sqref="AB493:AB494">
    <cfRule type="cellIs" dxfId="520" priority="528" operator="equal">
      <formula>"Catastrófico"</formula>
    </cfRule>
    <cfRule type="cellIs" dxfId="519" priority="529" operator="equal">
      <formula>"Mayor"</formula>
    </cfRule>
    <cfRule type="cellIs" dxfId="518" priority="530" operator="equal">
      <formula>"Moderado"</formula>
    </cfRule>
    <cfRule type="cellIs" dxfId="517" priority="531" operator="equal">
      <formula>"Menor"</formula>
    </cfRule>
    <cfRule type="cellIs" dxfId="516" priority="532" operator="equal">
      <formula>"Leve"</formula>
    </cfRule>
  </conditionalFormatting>
  <conditionalFormatting sqref="AD493:AD494">
    <cfRule type="cellIs" dxfId="515" priority="524" operator="equal">
      <formula>"Extremo"</formula>
    </cfRule>
    <cfRule type="cellIs" dxfId="514" priority="525" operator="equal">
      <formula>"Alto"</formula>
    </cfRule>
    <cfRule type="cellIs" dxfId="513" priority="526" operator="equal">
      <formula>"Moderado"</formula>
    </cfRule>
    <cfRule type="cellIs" dxfId="512" priority="527" operator="equal">
      <formula>"Bajo"</formula>
    </cfRule>
  </conditionalFormatting>
  <conditionalFormatting sqref="M495">
    <cfRule type="cellIs" dxfId="511" priority="519" operator="equal">
      <formula>"Catastrófico"</formula>
    </cfRule>
    <cfRule type="cellIs" dxfId="510" priority="520" operator="equal">
      <formula>"Mayor"</formula>
    </cfRule>
    <cfRule type="cellIs" dxfId="509" priority="521" operator="equal">
      <formula>"Moderado"</formula>
    </cfRule>
    <cfRule type="cellIs" dxfId="508" priority="522" operator="equal">
      <formula>"Menor"</formula>
    </cfRule>
    <cfRule type="cellIs" dxfId="507" priority="523" operator="equal">
      <formula>"Leve"</formula>
    </cfRule>
  </conditionalFormatting>
  <conditionalFormatting sqref="O495">
    <cfRule type="cellIs" dxfId="506" priority="515" operator="equal">
      <formula>"Extremo"</formula>
    </cfRule>
    <cfRule type="cellIs" dxfId="505" priority="516" operator="equal">
      <formula>"Alto"</formula>
    </cfRule>
    <cfRule type="cellIs" dxfId="504" priority="517" operator="equal">
      <formula>"Moderado"</formula>
    </cfRule>
    <cfRule type="cellIs" dxfId="503" priority="518" operator="equal">
      <formula>"Bajo"</formula>
    </cfRule>
  </conditionalFormatting>
  <conditionalFormatting sqref="L495:L500">
    <cfRule type="containsText" dxfId="502" priority="514" operator="containsText" text="❌">
      <formula>NOT(ISERROR(SEARCH("❌",L495)))</formula>
    </cfRule>
  </conditionalFormatting>
  <conditionalFormatting sqref="I495">
    <cfRule type="cellIs" dxfId="501" priority="509" operator="equal">
      <formula>"Muy Alta"</formula>
    </cfRule>
    <cfRule type="cellIs" dxfId="500" priority="510" operator="equal">
      <formula>"Alta"</formula>
    </cfRule>
    <cfRule type="cellIs" dxfId="499" priority="511" operator="equal">
      <formula>"Media"</formula>
    </cfRule>
    <cfRule type="cellIs" dxfId="498" priority="512" operator="equal">
      <formula>"Baja"</formula>
    </cfRule>
    <cfRule type="cellIs" dxfId="497" priority="513" operator="equal">
      <formula>"Muy Baja"</formula>
    </cfRule>
  </conditionalFormatting>
  <conditionalFormatting sqref="Z495:Z498">
    <cfRule type="cellIs" dxfId="496" priority="504" operator="equal">
      <formula>"Muy Alta"</formula>
    </cfRule>
    <cfRule type="cellIs" dxfId="495" priority="505" operator="equal">
      <formula>"Alta"</formula>
    </cfRule>
    <cfRule type="cellIs" dxfId="494" priority="506" operator="equal">
      <formula>"Media"</formula>
    </cfRule>
    <cfRule type="cellIs" dxfId="493" priority="507" operator="equal">
      <formula>"Baja"</formula>
    </cfRule>
    <cfRule type="cellIs" dxfId="492" priority="508" operator="equal">
      <formula>"Muy Baja"</formula>
    </cfRule>
  </conditionalFormatting>
  <conditionalFormatting sqref="AB495:AB498">
    <cfRule type="cellIs" dxfId="491" priority="499" operator="equal">
      <formula>"Catastrófico"</formula>
    </cfRule>
    <cfRule type="cellIs" dxfId="490" priority="500" operator="equal">
      <formula>"Mayor"</formula>
    </cfRule>
    <cfRule type="cellIs" dxfId="489" priority="501" operator="equal">
      <formula>"Moderado"</formula>
    </cfRule>
    <cfRule type="cellIs" dxfId="488" priority="502" operator="equal">
      <formula>"Menor"</formula>
    </cfRule>
    <cfRule type="cellIs" dxfId="487" priority="503" operator="equal">
      <formula>"Leve"</formula>
    </cfRule>
  </conditionalFormatting>
  <conditionalFormatting sqref="AD495:AD498">
    <cfRule type="cellIs" dxfId="486" priority="495" operator="equal">
      <formula>"Extremo"</formula>
    </cfRule>
    <cfRule type="cellIs" dxfId="485" priority="496" operator="equal">
      <formula>"Alto"</formula>
    </cfRule>
    <cfRule type="cellIs" dxfId="484" priority="497" operator="equal">
      <formula>"Moderado"</formula>
    </cfRule>
    <cfRule type="cellIs" dxfId="483" priority="498" operator="equal">
      <formula>"Bajo"</formula>
    </cfRule>
  </conditionalFormatting>
  <conditionalFormatting sqref="Z499:Z500">
    <cfRule type="cellIs" dxfId="482" priority="490" operator="equal">
      <formula>"Muy Alta"</formula>
    </cfRule>
    <cfRule type="cellIs" dxfId="481" priority="491" operator="equal">
      <formula>"Alta"</formula>
    </cfRule>
    <cfRule type="cellIs" dxfId="480" priority="492" operator="equal">
      <formula>"Media"</formula>
    </cfRule>
    <cfRule type="cellIs" dxfId="479" priority="493" operator="equal">
      <formula>"Baja"</formula>
    </cfRule>
    <cfRule type="cellIs" dxfId="478" priority="494" operator="equal">
      <formula>"Muy Baja"</formula>
    </cfRule>
  </conditionalFormatting>
  <conditionalFormatting sqref="AB499:AB500">
    <cfRule type="cellIs" dxfId="477" priority="485" operator="equal">
      <formula>"Catastrófico"</formula>
    </cfRule>
    <cfRule type="cellIs" dxfId="476" priority="486" operator="equal">
      <formula>"Mayor"</formula>
    </cfRule>
    <cfRule type="cellIs" dxfId="475" priority="487" operator="equal">
      <formula>"Moderado"</formula>
    </cfRule>
    <cfRule type="cellIs" dxfId="474" priority="488" operator="equal">
      <formula>"Menor"</formula>
    </cfRule>
    <cfRule type="cellIs" dxfId="473" priority="489" operator="equal">
      <formula>"Leve"</formula>
    </cfRule>
  </conditionalFormatting>
  <conditionalFormatting sqref="AD499:AD500">
    <cfRule type="cellIs" dxfId="472" priority="481" operator="equal">
      <formula>"Extremo"</formula>
    </cfRule>
    <cfRule type="cellIs" dxfId="471" priority="482" operator="equal">
      <formula>"Alto"</formula>
    </cfRule>
    <cfRule type="cellIs" dxfId="470" priority="483" operator="equal">
      <formula>"Moderado"</formula>
    </cfRule>
    <cfRule type="cellIs" dxfId="469" priority="484" operator="equal">
      <formula>"Bajo"</formula>
    </cfRule>
  </conditionalFormatting>
  <conditionalFormatting sqref="M501">
    <cfRule type="cellIs" dxfId="468" priority="476" operator="equal">
      <formula>"Catastrófico"</formula>
    </cfRule>
    <cfRule type="cellIs" dxfId="467" priority="477" operator="equal">
      <formula>"Mayor"</formula>
    </cfRule>
    <cfRule type="cellIs" dxfId="466" priority="478" operator="equal">
      <formula>"Moderado"</formula>
    </cfRule>
    <cfRule type="cellIs" dxfId="465" priority="479" operator="equal">
      <formula>"Menor"</formula>
    </cfRule>
    <cfRule type="cellIs" dxfId="464" priority="480" operator="equal">
      <formula>"Leve"</formula>
    </cfRule>
  </conditionalFormatting>
  <conditionalFormatting sqref="O501">
    <cfRule type="cellIs" dxfId="463" priority="472" operator="equal">
      <formula>"Extremo"</formula>
    </cfRule>
    <cfRule type="cellIs" dxfId="462" priority="473" operator="equal">
      <formula>"Alto"</formula>
    </cfRule>
    <cfRule type="cellIs" dxfId="461" priority="474" operator="equal">
      <formula>"Moderado"</formula>
    </cfRule>
    <cfRule type="cellIs" dxfId="460" priority="475" operator="equal">
      <formula>"Bajo"</formula>
    </cfRule>
  </conditionalFormatting>
  <conditionalFormatting sqref="L501:L505">
    <cfRule type="containsText" dxfId="459" priority="471" operator="containsText" text="❌">
      <formula>NOT(ISERROR(SEARCH("❌",L501)))</formula>
    </cfRule>
  </conditionalFormatting>
  <conditionalFormatting sqref="I501">
    <cfRule type="cellIs" dxfId="458" priority="466" operator="equal">
      <formula>"Muy Alta"</formula>
    </cfRule>
    <cfRule type="cellIs" dxfId="457" priority="467" operator="equal">
      <formula>"Alta"</formula>
    </cfRule>
    <cfRule type="cellIs" dxfId="456" priority="468" operator="equal">
      <formula>"Media"</formula>
    </cfRule>
    <cfRule type="cellIs" dxfId="455" priority="469" operator="equal">
      <formula>"Baja"</formula>
    </cfRule>
    <cfRule type="cellIs" dxfId="454" priority="470" operator="equal">
      <formula>"Muy Baja"</formula>
    </cfRule>
  </conditionalFormatting>
  <conditionalFormatting sqref="L506:L507">
    <cfRule type="containsText" dxfId="453" priority="465" operator="containsText" text="❌">
      <formula>NOT(ISERROR(SEARCH("❌",L506)))</formula>
    </cfRule>
  </conditionalFormatting>
  <conditionalFormatting sqref="Z501:Z504">
    <cfRule type="cellIs" dxfId="452" priority="460" operator="equal">
      <formula>"Muy Alta"</formula>
    </cfRule>
    <cfRule type="cellIs" dxfId="451" priority="461" operator="equal">
      <formula>"Alta"</formula>
    </cfRule>
    <cfRule type="cellIs" dxfId="450" priority="462" operator="equal">
      <formula>"Media"</formula>
    </cfRule>
    <cfRule type="cellIs" dxfId="449" priority="463" operator="equal">
      <formula>"Baja"</formula>
    </cfRule>
    <cfRule type="cellIs" dxfId="448" priority="464" operator="equal">
      <formula>"Muy Baja"</formula>
    </cfRule>
  </conditionalFormatting>
  <conditionalFormatting sqref="AB501:AB504">
    <cfRule type="cellIs" dxfId="447" priority="455" operator="equal">
      <formula>"Catastrófico"</formula>
    </cfRule>
    <cfRule type="cellIs" dxfId="446" priority="456" operator="equal">
      <formula>"Mayor"</formula>
    </cfRule>
    <cfRule type="cellIs" dxfId="445" priority="457" operator="equal">
      <formula>"Moderado"</formula>
    </cfRule>
    <cfRule type="cellIs" dxfId="444" priority="458" operator="equal">
      <formula>"Menor"</formula>
    </cfRule>
    <cfRule type="cellIs" dxfId="443" priority="459" operator="equal">
      <formula>"Leve"</formula>
    </cfRule>
  </conditionalFormatting>
  <conditionalFormatting sqref="AD501:AD504">
    <cfRule type="cellIs" dxfId="442" priority="451" operator="equal">
      <formula>"Extremo"</formula>
    </cfRule>
    <cfRule type="cellIs" dxfId="441" priority="452" operator="equal">
      <formula>"Alto"</formula>
    </cfRule>
    <cfRule type="cellIs" dxfId="440" priority="453" operator="equal">
      <formula>"Moderado"</formula>
    </cfRule>
    <cfRule type="cellIs" dxfId="439" priority="454" operator="equal">
      <formula>"Bajo"</formula>
    </cfRule>
  </conditionalFormatting>
  <conditionalFormatting sqref="Z505:Z507">
    <cfRule type="cellIs" dxfId="438" priority="446" operator="equal">
      <formula>"Muy Alta"</formula>
    </cfRule>
    <cfRule type="cellIs" dxfId="437" priority="447" operator="equal">
      <formula>"Alta"</formula>
    </cfRule>
    <cfRule type="cellIs" dxfId="436" priority="448" operator="equal">
      <formula>"Media"</formula>
    </cfRule>
    <cfRule type="cellIs" dxfId="435" priority="449" operator="equal">
      <formula>"Baja"</formula>
    </cfRule>
    <cfRule type="cellIs" dxfId="434" priority="450" operator="equal">
      <formula>"Muy Baja"</formula>
    </cfRule>
  </conditionalFormatting>
  <conditionalFormatting sqref="AB505:AB507">
    <cfRule type="cellIs" dxfId="433" priority="441" operator="equal">
      <formula>"Catastrófico"</formula>
    </cfRule>
    <cfRule type="cellIs" dxfId="432" priority="442" operator="equal">
      <formula>"Mayor"</formula>
    </cfRule>
    <cfRule type="cellIs" dxfId="431" priority="443" operator="equal">
      <formula>"Moderado"</formula>
    </cfRule>
    <cfRule type="cellIs" dxfId="430" priority="444" operator="equal">
      <formula>"Menor"</formula>
    </cfRule>
    <cfRule type="cellIs" dxfId="429" priority="445" operator="equal">
      <formula>"Leve"</formula>
    </cfRule>
  </conditionalFormatting>
  <conditionalFormatting sqref="AD505:AD507">
    <cfRule type="cellIs" dxfId="428" priority="437" operator="equal">
      <formula>"Extremo"</formula>
    </cfRule>
    <cfRule type="cellIs" dxfId="427" priority="438" operator="equal">
      <formula>"Alto"</formula>
    </cfRule>
    <cfRule type="cellIs" dxfId="426" priority="439" operator="equal">
      <formula>"Moderado"</formula>
    </cfRule>
    <cfRule type="cellIs" dxfId="425" priority="440" operator="equal">
      <formula>"Bajo"</formula>
    </cfRule>
  </conditionalFormatting>
  <conditionalFormatting sqref="M508">
    <cfRule type="cellIs" dxfId="424" priority="432" operator="equal">
      <formula>"Catastrófico"</formula>
    </cfRule>
    <cfRule type="cellIs" dxfId="423" priority="433" operator="equal">
      <formula>"Mayor"</formula>
    </cfRule>
    <cfRule type="cellIs" dxfId="422" priority="434" operator="equal">
      <formula>"Moderado"</formula>
    </cfRule>
    <cfRule type="cellIs" dxfId="421" priority="435" operator="equal">
      <formula>"Menor"</formula>
    </cfRule>
    <cfRule type="cellIs" dxfId="420" priority="436" operator="equal">
      <formula>"Leve"</formula>
    </cfRule>
  </conditionalFormatting>
  <conditionalFormatting sqref="O508">
    <cfRule type="cellIs" dxfId="419" priority="428" operator="equal">
      <formula>"Extremo"</formula>
    </cfRule>
    <cfRule type="cellIs" dxfId="418" priority="429" operator="equal">
      <formula>"Alto"</formula>
    </cfRule>
    <cfRule type="cellIs" dxfId="417" priority="430" operator="equal">
      <formula>"Moderado"</formula>
    </cfRule>
    <cfRule type="cellIs" dxfId="416" priority="431" operator="equal">
      <formula>"Bajo"</formula>
    </cfRule>
  </conditionalFormatting>
  <conditionalFormatting sqref="L508:L513">
    <cfRule type="containsText" dxfId="415" priority="427" operator="containsText" text="❌">
      <formula>NOT(ISERROR(SEARCH("❌",L508)))</formula>
    </cfRule>
  </conditionalFormatting>
  <conditionalFormatting sqref="I508">
    <cfRule type="cellIs" dxfId="414" priority="422" operator="equal">
      <formula>"Muy Alta"</formula>
    </cfRule>
    <cfRule type="cellIs" dxfId="413" priority="423" operator="equal">
      <formula>"Alta"</formula>
    </cfRule>
    <cfRule type="cellIs" dxfId="412" priority="424" operator="equal">
      <formula>"Media"</formula>
    </cfRule>
    <cfRule type="cellIs" dxfId="411" priority="425" operator="equal">
      <formula>"Baja"</formula>
    </cfRule>
    <cfRule type="cellIs" dxfId="410" priority="426" operator="equal">
      <formula>"Muy Baja"</formula>
    </cfRule>
  </conditionalFormatting>
  <conditionalFormatting sqref="Z508:Z511">
    <cfRule type="cellIs" dxfId="409" priority="417" operator="equal">
      <formula>"Muy Alta"</formula>
    </cfRule>
    <cfRule type="cellIs" dxfId="408" priority="418" operator="equal">
      <formula>"Alta"</formula>
    </cfRule>
    <cfRule type="cellIs" dxfId="407" priority="419" operator="equal">
      <formula>"Media"</formula>
    </cfRule>
    <cfRule type="cellIs" dxfId="406" priority="420" operator="equal">
      <formula>"Baja"</formula>
    </cfRule>
    <cfRule type="cellIs" dxfId="405" priority="421" operator="equal">
      <formula>"Muy Baja"</formula>
    </cfRule>
  </conditionalFormatting>
  <conditionalFormatting sqref="AB508:AB511">
    <cfRule type="cellIs" dxfId="404" priority="412" operator="equal">
      <formula>"Catastrófico"</formula>
    </cfRule>
    <cfRule type="cellIs" dxfId="403" priority="413" operator="equal">
      <formula>"Mayor"</formula>
    </cfRule>
    <cfRule type="cellIs" dxfId="402" priority="414" operator="equal">
      <formula>"Moderado"</formula>
    </cfRule>
    <cfRule type="cellIs" dxfId="401" priority="415" operator="equal">
      <formula>"Menor"</formula>
    </cfRule>
    <cfRule type="cellIs" dxfId="400" priority="416" operator="equal">
      <formula>"Leve"</formula>
    </cfRule>
  </conditionalFormatting>
  <conditionalFormatting sqref="AD508:AD511">
    <cfRule type="cellIs" dxfId="399" priority="408" operator="equal">
      <formula>"Extremo"</formula>
    </cfRule>
    <cfRule type="cellIs" dxfId="398" priority="409" operator="equal">
      <formula>"Alto"</formula>
    </cfRule>
    <cfRule type="cellIs" dxfId="397" priority="410" operator="equal">
      <formula>"Moderado"</formula>
    </cfRule>
    <cfRule type="cellIs" dxfId="396" priority="411" operator="equal">
      <formula>"Bajo"</formula>
    </cfRule>
  </conditionalFormatting>
  <conditionalFormatting sqref="Z512:Z513">
    <cfRule type="cellIs" dxfId="395" priority="403" operator="equal">
      <formula>"Muy Alta"</formula>
    </cfRule>
    <cfRule type="cellIs" dxfId="394" priority="404" operator="equal">
      <formula>"Alta"</formula>
    </cfRule>
    <cfRule type="cellIs" dxfId="393" priority="405" operator="equal">
      <formula>"Media"</formula>
    </cfRule>
    <cfRule type="cellIs" dxfId="392" priority="406" operator="equal">
      <formula>"Baja"</formula>
    </cfRule>
    <cfRule type="cellIs" dxfId="391" priority="407" operator="equal">
      <formula>"Muy Baja"</formula>
    </cfRule>
  </conditionalFormatting>
  <conditionalFormatting sqref="AB512:AB513">
    <cfRule type="cellIs" dxfId="390" priority="398" operator="equal">
      <formula>"Catastrófico"</formula>
    </cfRule>
    <cfRule type="cellIs" dxfId="389" priority="399" operator="equal">
      <formula>"Mayor"</formula>
    </cfRule>
    <cfRule type="cellIs" dxfId="388" priority="400" operator="equal">
      <formula>"Moderado"</formula>
    </cfRule>
    <cfRule type="cellIs" dxfId="387" priority="401" operator="equal">
      <formula>"Menor"</formula>
    </cfRule>
    <cfRule type="cellIs" dxfId="386" priority="402" operator="equal">
      <formula>"Leve"</formula>
    </cfRule>
  </conditionalFormatting>
  <conditionalFormatting sqref="AD512:AD513">
    <cfRule type="cellIs" dxfId="385" priority="394" operator="equal">
      <formula>"Extremo"</formula>
    </cfRule>
    <cfRule type="cellIs" dxfId="384" priority="395" operator="equal">
      <formula>"Alto"</formula>
    </cfRule>
    <cfRule type="cellIs" dxfId="383" priority="396" operator="equal">
      <formula>"Moderado"</formula>
    </cfRule>
    <cfRule type="cellIs" dxfId="382" priority="397" operator="equal">
      <formula>"Bajo"</formula>
    </cfRule>
  </conditionalFormatting>
  <conditionalFormatting sqref="M514 M520">
    <cfRule type="cellIs" dxfId="381" priority="389" operator="equal">
      <formula>"Catastrófico"</formula>
    </cfRule>
    <cfRule type="cellIs" dxfId="380" priority="390" operator="equal">
      <formula>"Mayor"</formula>
    </cfRule>
    <cfRule type="cellIs" dxfId="379" priority="391" operator="equal">
      <formula>"Moderado"</formula>
    </cfRule>
    <cfRule type="cellIs" dxfId="378" priority="392" operator="equal">
      <formula>"Menor"</formula>
    </cfRule>
    <cfRule type="cellIs" dxfId="377" priority="393" operator="equal">
      <formula>"Leve"</formula>
    </cfRule>
  </conditionalFormatting>
  <conditionalFormatting sqref="O514">
    <cfRule type="cellIs" dxfId="376" priority="385" operator="equal">
      <formula>"Extremo"</formula>
    </cfRule>
    <cfRule type="cellIs" dxfId="375" priority="386" operator="equal">
      <formula>"Alto"</formula>
    </cfRule>
    <cfRule type="cellIs" dxfId="374" priority="387" operator="equal">
      <formula>"Moderado"</formula>
    </cfRule>
    <cfRule type="cellIs" dxfId="373" priority="388" operator="equal">
      <formula>"Bajo"</formula>
    </cfRule>
  </conditionalFormatting>
  <conditionalFormatting sqref="O520">
    <cfRule type="cellIs" dxfId="372" priority="381" operator="equal">
      <formula>"Extremo"</formula>
    </cfRule>
    <cfRule type="cellIs" dxfId="371" priority="382" operator="equal">
      <formula>"Alto"</formula>
    </cfRule>
    <cfRule type="cellIs" dxfId="370" priority="383" operator="equal">
      <formula>"Moderado"</formula>
    </cfRule>
    <cfRule type="cellIs" dxfId="369" priority="384" operator="equal">
      <formula>"Bajo"</formula>
    </cfRule>
  </conditionalFormatting>
  <conditionalFormatting sqref="L514:L524">
    <cfRule type="containsText" dxfId="368" priority="380" operator="containsText" text="❌">
      <formula>NOT(ISERROR(SEARCH("❌",L514)))</formula>
    </cfRule>
  </conditionalFormatting>
  <conditionalFormatting sqref="I520">
    <cfRule type="cellIs" dxfId="367" priority="375" operator="equal">
      <formula>"Muy Alta"</formula>
    </cfRule>
    <cfRule type="cellIs" dxfId="366" priority="376" operator="equal">
      <formula>"Alta"</formula>
    </cfRule>
    <cfRule type="cellIs" dxfId="365" priority="377" operator="equal">
      <formula>"Media"</formula>
    </cfRule>
    <cfRule type="cellIs" dxfId="364" priority="378" operator="equal">
      <formula>"Baja"</formula>
    </cfRule>
    <cfRule type="cellIs" dxfId="363" priority="379" operator="equal">
      <formula>"Muy Baja"</formula>
    </cfRule>
  </conditionalFormatting>
  <conditionalFormatting sqref="I514">
    <cfRule type="cellIs" dxfId="362" priority="370" operator="equal">
      <formula>"Muy Alta"</formula>
    </cfRule>
    <cfRule type="cellIs" dxfId="361" priority="371" operator="equal">
      <formula>"Alta"</formula>
    </cfRule>
    <cfRule type="cellIs" dxfId="360" priority="372" operator="equal">
      <formula>"Media"</formula>
    </cfRule>
    <cfRule type="cellIs" dxfId="359" priority="373" operator="equal">
      <formula>"Baja"</formula>
    </cfRule>
    <cfRule type="cellIs" dxfId="358" priority="374" operator="equal">
      <formula>"Muy Baja"</formula>
    </cfRule>
  </conditionalFormatting>
  <conditionalFormatting sqref="Z514:Z517">
    <cfRule type="cellIs" dxfId="357" priority="365" operator="equal">
      <formula>"Muy Alta"</formula>
    </cfRule>
    <cfRule type="cellIs" dxfId="356" priority="366" operator="equal">
      <formula>"Alta"</formula>
    </cfRule>
    <cfRule type="cellIs" dxfId="355" priority="367" operator="equal">
      <formula>"Media"</formula>
    </cfRule>
    <cfRule type="cellIs" dxfId="354" priority="368" operator="equal">
      <formula>"Baja"</formula>
    </cfRule>
    <cfRule type="cellIs" dxfId="353" priority="369" operator="equal">
      <formula>"Muy Baja"</formula>
    </cfRule>
  </conditionalFormatting>
  <conditionalFormatting sqref="AB514:AB517">
    <cfRule type="cellIs" dxfId="352" priority="360" operator="equal">
      <formula>"Catastrófico"</formula>
    </cfRule>
    <cfRule type="cellIs" dxfId="351" priority="361" operator="equal">
      <formula>"Mayor"</formula>
    </cfRule>
    <cfRule type="cellIs" dxfId="350" priority="362" operator="equal">
      <formula>"Moderado"</formula>
    </cfRule>
    <cfRule type="cellIs" dxfId="349" priority="363" operator="equal">
      <formula>"Menor"</formula>
    </cfRule>
    <cfRule type="cellIs" dxfId="348" priority="364" operator="equal">
      <formula>"Leve"</formula>
    </cfRule>
  </conditionalFormatting>
  <conditionalFormatting sqref="AD514:AD517">
    <cfRule type="cellIs" dxfId="347" priority="356" operator="equal">
      <formula>"Extremo"</formula>
    </cfRule>
    <cfRule type="cellIs" dxfId="346" priority="357" operator="equal">
      <formula>"Alto"</formula>
    </cfRule>
    <cfRule type="cellIs" dxfId="345" priority="358" operator="equal">
      <formula>"Moderado"</formula>
    </cfRule>
    <cfRule type="cellIs" dxfId="344" priority="359" operator="equal">
      <formula>"Bajo"</formula>
    </cfRule>
  </conditionalFormatting>
  <conditionalFormatting sqref="Z518:Z519">
    <cfRule type="cellIs" dxfId="343" priority="351" operator="equal">
      <formula>"Muy Alta"</formula>
    </cfRule>
    <cfRule type="cellIs" dxfId="342" priority="352" operator="equal">
      <formula>"Alta"</formula>
    </cfRule>
    <cfRule type="cellIs" dxfId="341" priority="353" operator="equal">
      <formula>"Media"</formula>
    </cfRule>
    <cfRule type="cellIs" dxfId="340" priority="354" operator="equal">
      <formula>"Baja"</formula>
    </cfRule>
    <cfRule type="cellIs" dxfId="339" priority="355" operator="equal">
      <formula>"Muy Baja"</formula>
    </cfRule>
  </conditionalFormatting>
  <conditionalFormatting sqref="AB518:AB519">
    <cfRule type="cellIs" dxfId="338" priority="346" operator="equal">
      <formula>"Catastrófico"</formula>
    </cfRule>
    <cfRule type="cellIs" dxfId="337" priority="347" operator="equal">
      <formula>"Mayor"</formula>
    </cfRule>
    <cfRule type="cellIs" dxfId="336" priority="348" operator="equal">
      <formula>"Moderado"</formula>
    </cfRule>
    <cfRule type="cellIs" dxfId="335" priority="349" operator="equal">
      <formula>"Menor"</formula>
    </cfRule>
    <cfRule type="cellIs" dxfId="334" priority="350" operator="equal">
      <formula>"Leve"</formula>
    </cfRule>
  </conditionalFormatting>
  <conditionalFormatting sqref="AD518:AD519">
    <cfRule type="cellIs" dxfId="333" priority="342" operator="equal">
      <formula>"Extremo"</formula>
    </cfRule>
    <cfRule type="cellIs" dxfId="332" priority="343" operator="equal">
      <formula>"Alto"</formula>
    </cfRule>
    <cfRule type="cellIs" dxfId="331" priority="344" operator="equal">
      <formula>"Moderado"</formula>
    </cfRule>
    <cfRule type="cellIs" dxfId="330" priority="345" operator="equal">
      <formula>"Bajo"</formula>
    </cfRule>
  </conditionalFormatting>
  <conditionalFormatting sqref="L525">
    <cfRule type="containsText" dxfId="329" priority="341" operator="containsText" text="❌">
      <formula>NOT(ISERROR(SEARCH("❌",L525)))</formula>
    </cfRule>
  </conditionalFormatting>
  <conditionalFormatting sqref="Z520:Z523">
    <cfRule type="cellIs" dxfId="328" priority="336" operator="equal">
      <formula>"Muy Alta"</formula>
    </cfRule>
    <cfRule type="cellIs" dxfId="327" priority="337" operator="equal">
      <formula>"Alta"</formula>
    </cfRule>
    <cfRule type="cellIs" dxfId="326" priority="338" operator="equal">
      <formula>"Media"</formula>
    </cfRule>
    <cfRule type="cellIs" dxfId="325" priority="339" operator="equal">
      <formula>"Baja"</formula>
    </cfRule>
    <cfRule type="cellIs" dxfId="324" priority="340" operator="equal">
      <formula>"Muy Baja"</formula>
    </cfRule>
  </conditionalFormatting>
  <conditionalFormatting sqref="AB520:AB523">
    <cfRule type="cellIs" dxfId="323" priority="331" operator="equal">
      <formula>"Catastrófico"</formula>
    </cfRule>
    <cfRule type="cellIs" dxfId="322" priority="332" operator="equal">
      <formula>"Mayor"</formula>
    </cfRule>
    <cfRule type="cellIs" dxfId="321" priority="333" operator="equal">
      <formula>"Moderado"</formula>
    </cfRule>
    <cfRule type="cellIs" dxfId="320" priority="334" operator="equal">
      <formula>"Menor"</formula>
    </cfRule>
    <cfRule type="cellIs" dxfId="319" priority="335" operator="equal">
      <formula>"Leve"</formula>
    </cfRule>
  </conditionalFormatting>
  <conditionalFormatting sqref="AD520:AD523">
    <cfRule type="cellIs" dxfId="318" priority="327" operator="equal">
      <formula>"Extremo"</formula>
    </cfRule>
    <cfRule type="cellIs" dxfId="317" priority="328" operator="equal">
      <formula>"Alto"</formula>
    </cfRule>
    <cfRule type="cellIs" dxfId="316" priority="329" operator="equal">
      <formula>"Moderado"</formula>
    </cfRule>
    <cfRule type="cellIs" dxfId="315" priority="330" operator="equal">
      <formula>"Bajo"</formula>
    </cfRule>
  </conditionalFormatting>
  <conditionalFormatting sqref="Z524:Z525">
    <cfRule type="cellIs" dxfId="314" priority="322" operator="equal">
      <formula>"Muy Alta"</formula>
    </cfRule>
    <cfRule type="cellIs" dxfId="313" priority="323" operator="equal">
      <formula>"Alta"</formula>
    </cfRule>
    <cfRule type="cellIs" dxfId="312" priority="324" operator="equal">
      <formula>"Media"</formula>
    </cfRule>
    <cfRule type="cellIs" dxfId="311" priority="325" operator="equal">
      <formula>"Baja"</formula>
    </cfRule>
    <cfRule type="cellIs" dxfId="310" priority="326" operator="equal">
      <formula>"Muy Baja"</formula>
    </cfRule>
  </conditionalFormatting>
  <conditionalFormatting sqref="AB524:AB525">
    <cfRule type="cellIs" dxfId="309" priority="317" operator="equal">
      <formula>"Catastrófico"</formula>
    </cfRule>
    <cfRule type="cellIs" dxfId="308" priority="318" operator="equal">
      <formula>"Mayor"</formula>
    </cfRule>
    <cfRule type="cellIs" dxfId="307" priority="319" operator="equal">
      <formula>"Moderado"</formula>
    </cfRule>
    <cfRule type="cellIs" dxfId="306" priority="320" operator="equal">
      <formula>"Menor"</formula>
    </cfRule>
    <cfRule type="cellIs" dxfId="305" priority="321" operator="equal">
      <formula>"Leve"</formula>
    </cfRule>
  </conditionalFormatting>
  <conditionalFormatting sqref="AD524:AD525">
    <cfRule type="cellIs" dxfId="304" priority="313" operator="equal">
      <formula>"Extremo"</formula>
    </cfRule>
    <cfRule type="cellIs" dxfId="303" priority="314" operator="equal">
      <formula>"Alto"</formula>
    </cfRule>
    <cfRule type="cellIs" dxfId="302" priority="315" operator="equal">
      <formula>"Moderado"</formula>
    </cfRule>
    <cfRule type="cellIs" dxfId="301" priority="316" operator="equal">
      <formula>"Bajo"</formula>
    </cfRule>
  </conditionalFormatting>
  <conditionalFormatting sqref="M79 M85">
    <cfRule type="cellIs" dxfId="257" priority="236" operator="equal">
      <formula>"Catastrófico"</formula>
    </cfRule>
    <cfRule type="cellIs" dxfId="256" priority="237" operator="equal">
      <formula>"Mayor"</formula>
    </cfRule>
    <cfRule type="cellIs" dxfId="255" priority="238" operator="equal">
      <formula>"Moderado"</formula>
    </cfRule>
    <cfRule type="cellIs" dxfId="254" priority="239" operator="equal">
      <formula>"Menor"</formula>
    </cfRule>
    <cfRule type="cellIs" dxfId="253" priority="240" operator="equal">
      <formula>"Leve"</formula>
    </cfRule>
  </conditionalFormatting>
  <conditionalFormatting sqref="O79">
    <cfRule type="cellIs" dxfId="252" priority="232" operator="equal">
      <formula>"Extremo"</formula>
    </cfRule>
    <cfRule type="cellIs" dxfId="251" priority="233" operator="equal">
      <formula>"Alto"</formula>
    </cfRule>
    <cfRule type="cellIs" dxfId="250" priority="234" operator="equal">
      <formula>"Moderado"</formula>
    </cfRule>
    <cfRule type="cellIs" dxfId="249" priority="235" operator="equal">
      <formula>"Bajo"</formula>
    </cfRule>
  </conditionalFormatting>
  <conditionalFormatting sqref="O85">
    <cfRule type="cellIs" dxfId="248" priority="228" operator="equal">
      <formula>"Extremo"</formula>
    </cfRule>
    <cfRule type="cellIs" dxfId="247" priority="229" operator="equal">
      <formula>"Alto"</formula>
    </cfRule>
    <cfRule type="cellIs" dxfId="246" priority="230" operator="equal">
      <formula>"Moderado"</formula>
    </cfRule>
    <cfRule type="cellIs" dxfId="245" priority="231" operator="equal">
      <formula>"Bajo"</formula>
    </cfRule>
  </conditionalFormatting>
  <conditionalFormatting sqref="L79:L90">
    <cfRule type="containsText" dxfId="244" priority="227" operator="containsText" text="❌">
      <formula>NOT(ISERROR(SEARCH("❌",L79)))</formula>
    </cfRule>
  </conditionalFormatting>
  <conditionalFormatting sqref="Z85:Z90">
    <cfRule type="cellIs" dxfId="243" priority="222" operator="equal">
      <formula>"Muy Alta"</formula>
    </cfRule>
    <cfRule type="cellIs" dxfId="242" priority="223" operator="equal">
      <formula>"Alta"</formula>
    </cfRule>
    <cfRule type="cellIs" dxfId="241" priority="224" operator="equal">
      <formula>"Media"</formula>
    </cfRule>
    <cfRule type="cellIs" dxfId="240" priority="225" operator="equal">
      <formula>"Baja"</formula>
    </cfRule>
    <cfRule type="cellIs" dxfId="239" priority="226" operator="equal">
      <formula>"Muy Baja"</formula>
    </cfRule>
  </conditionalFormatting>
  <conditionalFormatting sqref="AB85:AB90">
    <cfRule type="cellIs" dxfId="238" priority="217" operator="equal">
      <formula>"Catastrófico"</formula>
    </cfRule>
    <cfRule type="cellIs" dxfId="237" priority="218" operator="equal">
      <formula>"Mayor"</formula>
    </cfRule>
    <cfRule type="cellIs" dxfId="236" priority="219" operator="equal">
      <formula>"Moderado"</formula>
    </cfRule>
    <cfRule type="cellIs" dxfId="235" priority="220" operator="equal">
      <formula>"Menor"</formula>
    </cfRule>
    <cfRule type="cellIs" dxfId="234" priority="221" operator="equal">
      <formula>"Leve"</formula>
    </cfRule>
  </conditionalFormatting>
  <conditionalFormatting sqref="AD85:AD90">
    <cfRule type="cellIs" dxfId="233" priority="213" operator="equal">
      <formula>"Extremo"</formula>
    </cfRule>
    <cfRule type="cellIs" dxfId="232" priority="214" operator="equal">
      <formula>"Alto"</formula>
    </cfRule>
    <cfRule type="cellIs" dxfId="231" priority="215" operator="equal">
      <formula>"Moderado"</formula>
    </cfRule>
    <cfRule type="cellIs" dxfId="230" priority="216" operator="equal">
      <formula>"Bajo"</formula>
    </cfRule>
  </conditionalFormatting>
  <conditionalFormatting sqref="I85">
    <cfRule type="cellIs" dxfId="229" priority="208" operator="equal">
      <formula>"Muy Alta"</formula>
    </cfRule>
    <cfRule type="cellIs" dxfId="228" priority="209" operator="equal">
      <formula>"Alta"</formula>
    </cfRule>
    <cfRule type="cellIs" dxfId="227" priority="210" operator="equal">
      <formula>"Media"</formula>
    </cfRule>
    <cfRule type="cellIs" dxfId="226" priority="211" operator="equal">
      <formula>"Baja"</formula>
    </cfRule>
    <cfRule type="cellIs" dxfId="225" priority="212" operator="equal">
      <formula>"Muy Baja"</formula>
    </cfRule>
  </conditionalFormatting>
  <conditionalFormatting sqref="I79">
    <cfRule type="cellIs" dxfId="224" priority="203" operator="equal">
      <formula>"Muy Alta"</formula>
    </cfRule>
    <cfRule type="cellIs" dxfId="223" priority="204" operator="equal">
      <formula>"Alta"</formula>
    </cfRule>
    <cfRule type="cellIs" dxfId="222" priority="205" operator="equal">
      <formula>"Media"</formula>
    </cfRule>
    <cfRule type="cellIs" dxfId="221" priority="206" operator="equal">
      <formula>"Baja"</formula>
    </cfRule>
    <cfRule type="cellIs" dxfId="220" priority="207" operator="equal">
      <formula>"Muy Baja"</formula>
    </cfRule>
  </conditionalFormatting>
  <conditionalFormatting sqref="Z79:Z84">
    <cfRule type="cellIs" dxfId="219" priority="198" operator="equal">
      <formula>"Muy Alta"</formula>
    </cfRule>
    <cfRule type="cellIs" dxfId="218" priority="199" operator="equal">
      <formula>"Alta"</formula>
    </cfRule>
    <cfRule type="cellIs" dxfId="217" priority="200" operator="equal">
      <formula>"Media"</formula>
    </cfRule>
    <cfRule type="cellIs" dxfId="216" priority="201" operator="equal">
      <formula>"Baja"</formula>
    </cfRule>
    <cfRule type="cellIs" dxfId="215" priority="202" operator="equal">
      <formula>"Muy Baja"</formula>
    </cfRule>
  </conditionalFormatting>
  <conditionalFormatting sqref="AB79:AB84">
    <cfRule type="cellIs" dxfId="214" priority="193" operator="equal">
      <formula>"Catastrófico"</formula>
    </cfRule>
    <cfRule type="cellIs" dxfId="213" priority="194" operator="equal">
      <formula>"Mayor"</formula>
    </cfRule>
    <cfRule type="cellIs" dxfId="212" priority="195" operator="equal">
      <formula>"Moderado"</formula>
    </cfRule>
    <cfRule type="cellIs" dxfId="211" priority="196" operator="equal">
      <formula>"Menor"</formula>
    </cfRule>
    <cfRule type="cellIs" dxfId="210" priority="197" operator="equal">
      <formula>"Leve"</formula>
    </cfRule>
  </conditionalFormatting>
  <conditionalFormatting sqref="AD79:AD84">
    <cfRule type="cellIs" dxfId="209" priority="189" operator="equal">
      <formula>"Extremo"</formula>
    </cfRule>
    <cfRule type="cellIs" dxfId="208" priority="190" operator="equal">
      <formula>"Alto"</formula>
    </cfRule>
    <cfRule type="cellIs" dxfId="207" priority="191" operator="equal">
      <formula>"Moderado"</formula>
    </cfRule>
    <cfRule type="cellIs" dxfId="206" priority="192" operator="equal">
      <formula>"Bajo"</formula>
    </cfRule>
  </conditionalFormatting>
  <conditionalFormatting sqref="M532">
    <cfRule type="cellIs" dxfId="205" priority="126" operator="equal">
      <formula>"Catastrófico"</formula>
    </cfRule>
    <cfRule type="cellIs" dxfId="204" priority="127" operator="equal">
      <formula>"Mayor"</formula>
    </cfRule>
    <cfRule type="cellIs" dxfId="203" priority="128" operator="equal">
      <formula>"Moderado"</formula>
    </cfRule>
    <cfRule type="cellIs" dxfId="202" priority="129" operator="equal">
      <formula>"Menor"</formula>
    </cfRule>
    <cfRule type="cellIs" dxfId="201" priority="130" operator="equal">
      <formula>"Leve"</formula>
    </cfRule>
  </conditionalFormatting>
  <conditionalFormatting sqref="O532">
    <cfRule type="cellIs" dxfId="200" priority="122" operator="equal">
      <formula>"Extremo"</formula>
    </cfRule>
    <cfRule type="cellIs" dxfId="199" priority="123" operator="equal">
      <formula>"Alto"</formula>
    </cfRule>
    <cfRule type="cellIs" dxfId="198" priority="124" operator="equal">
      <formula>"Moderado"</formula>
    </cfRule>
    <cfRule type="cellIs" dxfId="197" priority="125" operator="equal">
      <formula>"Bajo"</formula>
    </cfRule>
  </conditionalFormatting>
  <conditionalFormatting sqref="L532:L536">
    <cfRule type="containsText" dxfId="196" priority="121" operator="containsText" text="❌">
      <formula>NOT(ISERROR(SEARCH("❌",L532)))</formula>
    </cfRule>
  </conditionalFormatting>
  <conditionalFormatting sqref="I532">
    <cfRule type="cellIs" dxfId="195" priority="116" operator="equal">
      <formula>"Muy Alta"</formula>
    </cfRule>
    <cfRule type="cellIs" dxfId="194" priority="117" operator="equal">
      <formula>"Alta"</formula>
    </cfRule>
    <cfRule type="cellIs" dxfId="193" priority="118" operator="equal">
      <formula>"Media"</formula>
    </cfRule>
    <cfRule type="cellIs" dxfId="192" priority="119" operator="equal">
      <formula>"Baja"</formula>
    </cfRule>
    <cfRule type="cellIs" dxfId="191" priority="120" operator="equal">
      <formula>"Muy Baja"</formula>
    </cfRule>
  </conditionalFormatting>
  <conditionalFormatting sqref="Z536:Z537">
    <cfRule type="cellIs" dxfId="190" priority="96" operator="equal">
      <formula>"Muy Alta"</formula>
    </cfRule>
    <cfRule type="cellIs" dxfId="189" priority="97" operator="equal">
      <formula>"Alta"</formula>
    </cfRule>
    <cfRule type="cellIs" dxfId="188" priority="98" operator="equal">
      <formula>"Media"</formula>
    </cfRule>
    <cfRule type="cellIs" dxfId="187" priority="99" operator="equal">
      <formula>"Baja"</formula>
    </cfRule>
    <cfRule type="cellIs" dxfId="186" priority="100" operator="equal">
      <formula>"Muy Baja"</formula>
    </cfRule>
  </conditionalFormatting>
  <conditionalFormatting sqref="AB536:AB537">
    <cfRule type="cellIs" dxfId="185" priority="91" operator="equal">
      <formula>"Catastrófico"</formula>
    </cfRule>
    <cfRule type="cellIs" dxfId="184" priority="92" operator="equal">
      <formula>"Mayor"</formula>
    </cfRule>
    <cfRule type="cellIs" dxfId="183" priority="93" operator="equal">
      <formula>"Moderado"</formula>
    </cfRule>
    <cfRule type="cellIs" dxfId="182" priority="94" operator="equal">
      <formula>"Menor"</formula>
    </cfRule>
    <cfRule type="cellIs" dxfId="181" priority="95" operator="equal">
      <formula>"Leve"</formula>
    </cfRule>
  </conditionalFormatting>
  <conditionalFormatting sqref="AD536:AD537">
    <cfRule type="cellIs" dxfId="180" priority="87" operator="equal">
      <formula>"Extremo"</formula>
    </cfRule>
    <cfRule type="cellIs" dxfId="179" priority="88" operator="equal">
      <formula>"Alto"</formula>
    </cfRule>
    <cfRule type="cellIs" dxfId="178" priority="89" operator="equal">
      <formula>"Moderado"</formula>
    </cfRule>
    <cfRule type="cellIs" dxfId="177" priority="90" operator="equal">
      <formula>"Bajo"</formula>
    </cfRule>
  </conditionalFormatting>
  <conditionalFormatting sqref="L537">
    <cfRule type="containsText" dxfId="176" priority="115" operator="containsText" text="❌">
      <formula>NOT(ISERROR(SEARCH("❌",L537)))</formula>
    </cfRule>
  </conditionalFormatting>
  <conditionalFormatting sqref="Z532:Z535">
    <cfRule type="cellIs" dxfId="175" priority="110" operator="equal">
      <formula>"Muy Alta"</formula>
    </cfRule>
    <cfRule type="cellIs" dxfId="174" priority="111" operator="equal">
      <formula>"Alta"</formula>
    </cfRule>
    <cfRule type="cellIs" dxfId="173" priority="112" operator="equal">
      <formula>"Media"</formula>
    </cfRule>
    <cfRule type="cellIs" dxfId="172" priority="113" operator="equal">
      <formula>"Baja"</formula>
    </cfRule>
    <cfRule type="cellIs" dxfId="171" priority="114" operator="equal">
      <formula>"Muy Baja"</formula>
    </cfRule>
  </conditionalFormatting>
  <conditionalFormatting sqref="AB532:AB535">
    <cfRule type="cellIs" dxfId="170" priority="105" operator="equal">
      <formula>"Catastrófico"</formula>
    </cfRule>
    <cfRule type="cellIs" dxfId="169" priority="106" operator="equal">
      <formula>"Mayor"</formula>
    </cfRule>
    <cfRule type="cellIs" dxfId="168" priority="107" operator="equal">
      <formula>"Moderado"</formula>
    </cfRule>
    <cfRule type="cellIs" dxfId="167" priority="108" operator="equal">
      <formula>"Menor"</formula>
    </cfRule>
    <cfRule type="cellIs" dxfId="166" priority="109" operator="equal">
      <formula>"Leve"</formula>
    </cfRule>
  </conditionalFormatting>
  <conditionalFormatting sqref="AD532:AD535">
    <cfRule type="cellIs" dxfId="165" priority="101" operator="equal">
      <formula>"Extremo"</formula>
    </cfRule>
    <cfRule type="cellIs" dxfId="164" priority="102" operator="equal">
      <formula>"Alto"</formula>
    </cfRule>
    <cfRule type="cellIs" dxfId="163" priority="103" operator="equal">
      <formula>"Moderado"</formula>
    </cfRule>
    <cfRule type="cellIs" dxfId="162" priority="104" operator="equal">
      <formula>"Bajo"</formula>
    </cfRule>
  </conditionalFormatting>
  <conditionalFormatting sqref="M223">
    <cfRule type="cellIs" dxfId="161" priority="68" operator="equal">
      <formula>"Catastrófico"</formula>
    </cfRule>
    <cfRule type="cellIs" dxfId="160" priority="69" operator="equal">
      <formula>"Mayor"</formula>
    </cfRule>
    <cfRule type="cellIs" dxfId="159" priority="70" operator="equal">
      <formula>"Moderado"</formula>
    </cfRule>
    <cfRule type="cellIs" dxfId="158" priority="71" operator="equal">
      <formula>"Menor"</formula>
    </cfRule>
    <cfRule type="cellIs" dxfId="157" priority="72" operator="equal">
      <formula>"Leve"</formula>
    </cfRule>
  </conditionalFormatting>
  <conditionalFormatting sqref="O223">
    <cfRule type="cellIs" dxfId="156" priority="64" operator="equal">
      <formula>"Extremo"</formula>
    </cfRule>
    <cfRule type="cellIs" dxfId="155" priority="65" operator="equal">
      <formula>"Alto"</formula>
    </cfRule>
    <cfRule type="cellIs" dxfId="154" priority="66" operator="equal">
      <formula>"Moderado"</formula>
    </cfRule>
    <cfRule type="cellIs" dxfId="153" priority="67" operator="equal">
      <formula>"Bajo"</formula>
    </cfRule>
  </conditionalFormatting>
  <conditionalFormatting sqref="L223:L228">
    <cfRule type="containsText" dxfId="152" priority="63" operator="containsText" text="❌">
      <formula>NOT(ISERROR(SEARCH("❌",L223)))</formula>
    </cfRule>
  </conditionalFormatting>
  <conditionalFormatting sqref="Z223:Z228">
    <cfRule type="cellIs" dxfId="151" priority="58" operator="equal">
      <formula>"Muy Alta"</formula>
    </cfRule>
    <cfRule type="cellIs" dxfId="150" priority="59" operator="equal">
      <formula>"Alta"</formula>
    </cfRule>
    <cfRule type="cellIs" dxfId="149" priority="60" operator="equal">
      <formula>"Media"</formula>
    </cfRule>
    <cfRule type="cellIs" dxfId="148" priority="61" operator="equal">
      <formula>"Baja"</formula>
    </cfRule>
    <cfRule type="cellIs" dxfId="147" priority="62" operator="equal">
      <formula>"Muy Baja"</formula>
    </cfRule>
  </conditionalFormatting>
  <conditionalFormatting sqref="AB223:AB228">
    <cfRule type="cellIs" dxfId="146" priority="53" operator="equal">
      <formula>"Catastrófico"</formula>
    </cfRule>
    <cfRule type="cellIs" dxfId="145" priority="54" operator="equal">
      <formula>"Mayor"</formula>
    </cfRule>
    <cfRule type="cellIs" dxfId="144" priority="55" operator="equal">
      <formula>"Moderado"</formula>
    </cfRule>
    <cfRule type="cellIs" dxfId="143" priority="56" operator="equal">
      <formula>"Menor"</formula>
    </cfRule>
    <cfRule type="cellIs" dxfId="142" priority="57" operator="equal">
      <formula>"Leve"</formula>
    </cfRule>
  </conditionalFormatting>
  <conditionalFormatting sqref="AD223:AD228">
    <cfRule type="cellIs" dxfId="141" priority="49" operator="equal">
      <formula>"Extremo"</formula>
    </cfRule>
    <cfRule type="cellIs" dxfId="140" priority="50" operator="equal">
      <formula>"Alto"</formula>
    </cfRule>
    <cfRule type="cellIs" dxfId="139" priority="51" operator="equal">
      <formula>"Moderado"</formula>
    </cfRule>
    <cfRule type="cellIs" dxfId="138" priority="52" operator="equal">
      <formula>"Bajo"</formula>
    </cfRule>
  </conditionalFormatting>
  <conditionalFormatting sqref="I223">
    <cfRule type="cellIs" dxfId="137" priority="44" operator="equal">
      <formula>"Muy Alta"</formula>
    </cfRule>
    <cfRule type="cellIs" dxfId="136" priority="45" operator="equal">
      <formula>"Alta"</formula>
    </cfRule>
    <cfRule type="cellIs" dxfId="135" priority="46" operator="equal">
      <formula>"Media"</formula>
    </cfRule>
    <cfRule type="cellIs" dxfId="134" priority="47" operator="equal">
      <formula>"Baja"</formula>
    </cfRule>
    <cfRule type="cellIs" dxfId="133" priority="48" operator="equal">
      <formula>"Muy Baja"</formula>
    </cfRule>
  </conditionalFormatting>
  <conditionalFormatting sqref="M526">
    <cfRule type="cellIs" dxfId="85" priority="39" operator="equal">
      <formula>"Catastrófico"</formula>
    </cfRule>
    <cfRule type="cellIs" dxfId="84" priority="40" operator="equal">
      <formula>"Mayor"</formula>
    </cfRule>
    <cfRule type="cellIs" dxfId="83" priority="41" operator="equal">
      <formula>"Moderado"</formula>
    </cfRule>
    <cfRule type="cellIs" dxfId="82" priority="42" operator="equal">
      <formula>"Menor"</formula>
    </cfRule>
    <cfRule type="cellIs" dxfId="81" priority="43" operator="equal">
      <formula>"Leve"</formula>
    </cfRule>
  </conditionalFormatting>
  <conditionalFormatting sqref="O526">
    <cfRule type="cellIs" dxfId="75" priority="35" operator="equal">
      <formula>"Extremo"</formula>
    </cfRule>
    <cfRule type="cellIs" dxfId="74" priority="36" operator="equal">
      <formula>"Alto"</formula>
    </cfRule>
    <cfRule type="cellIs" dxfId="73" priority="37" operator="equal">
      <formula>"Moderado"</formula>
    </cfRule>
    <cfRule type="cellIs" dxfId="72" priority="38" operator="equal">
      <formula>"Bajo"</formula>
    </cfRule>
  </conditionalFormatting>
  <conditionalFormatting sqref="L526:L531">
    <cfRule type="containsText" dxfId="67" priority="34" operator="containsText" text="❌">
      <formula>NOT(ISERROR(SEARCH("❌",L526)))</formula>
    </cfRule>
  </conditionalFormatting>
  <conditionalFormatting sqref="I526">
    <cfRule type="cellIs" dxfId="65" priority="29" operator="equal">
      <formula>"Muy Alta"</formula>
    </cfRule>
    <cfRule type="cellIs" dxfId="64" priority="30" operator="equal">
      <formula>"Alta"</formula>
    </cfRule>
    <cfRule type="cellIs" dxfId="63" priority="31" operator="equal">
      <formula>"Media"</formula>
    </cfRule>
    <cfRule type="cellIs" dxfId="62" priority="32" operator="equal">
      <formula>"Baja"</formula>
    </cfRule>
    <cfRule type="cellIs" dxfId="61" priority="33" operator="equal">
      <formula>"Muy Baja"</formula>
    </cfRule>
  </conditionalFormatting>
  <conditionalFormatting sqref="Z526:Z529">
    <cfRule type="cellIs" dxfId="55" priority="24" operator="equal">
      <formula>"Muy Alta"</formula>
    </cfRule>
    <cfRule type="cellIs" dxfId="54" priority="25" operator="equal">
      <formula>"Alta"</formula>
    </cfRule>
    <cfRule type="cellIs" dxfId="53" priority="26" operator="equal">
      <formula>"Media"</formula>
    </cfRule>
    <cfRule type="cellIs" dxfId="52" priority="27" operator="equal">
      <formula>"Baja"</formula>
    </cfRule>
    <cfRule type="cellIs" dxfId="51" priority="28" operator="equal">
      <formula>"Muy Baja"</formula>
    </cfRule>
  </conditionalFormatting>
  <conditionalFormatting sqref="AB526:AB529">
    <cfRule type="cellIs" dxfId="45" priority="19" operator="equal">
      <formula>"Catastrófico"</formula>
    </cfRule>
    <cfRule type="cellIs" dxfId="44" priority="20" operator="equal">
      <formula>"Mayor"</formula>
    </cfRule>
    <cfRule type="cellIs" dxfId="43" priority="21" operator="equal">
      <formula>"Moderado"</formula>
    </cfRule>
    <cfRule type="cellIs" dxfId="42" priority="22" operator="equal">
      <formula>"Menor"</formula>
    </cfRule>
    <cfRule type="cellIs" dxfId="41" priority="23" operator="equal">
      <formula>"Leve"</formula>
    </cfRule>
  </conditionalFormatting>
  <conditionalFormatting sqref="AD526:AD529">
    <cfRule type="cellIs" dxfId="35" priority="15" operator="equal">
      <formula>"Extremo"</formula>
    </cfRule>
    <cfRule type="cellIs" dxfId="34" priority="16" operator="equal">
      <formula>"Alto"</formula>
    </cfRule>
    <cfRule type="cellIs" dxfId="33" priority="17" operator="equal">
      <formula>"Moderado"</formula>
    </cfRule>
    <cfRule type="cellIs" dxfId="32" priority="18" operator="equal">
      <formula>"Bajo"</formula>
    </cfRule>
  </conditionalFormatting>
  <conditionalFormatting sqref="Z530:Z531">
    <cfRule type="cellIs" dxfId="27" priority="10" operator="equal">
      <formula>"Muy Alta"</formula>
    </cfRule>
    <cfRule type="cellIs" dxfId="26" priority="11" operator="equal">
      <formula>"Alta"</formula>
    </cfRule>
    <cfRule type="cellIs" dxfId="25" priority="12" operator="equal">
      <formula>"Media"</formula>
    </cfRule>
    <cfRule type="cellIs" dxfId="24" priority="13" operator="equal">
      <formula>"Baja"</formula>
    </cfRule>
    <cfRule type="cellIs" dxfId="23" priority="14" operator="equal">
      <formula>"Muy Baja"</formula>
    </cfRule>
  </conditionalFormatting>
  <conditionalFormatting sqref="AB530:AB531">
    <cfRule type="cellIs" dxfId="17" priority="5" operator="equal">
      <formula>"Catastrófico"</formula>
    </cfRule>
    <cfRule type="cellIs" dxfId="16" priority="6" operator="equal">
      <formula>"Mayor"</formula>
    </cfRule>
    <cfRule type="cellIs" dxfId="15" priority="7" operator="equal">
      <formula>"Moderado"</formula>
    </cfRule>
    <cfRule type="cellIs" dxfId="14" priority="8" operator="equal">
      <formula>"Menor"</formula>
    </cfRule>
    <cfRule type="cellIs" dxfId="13" priority="9" operator="equal">
      <formula>"Leve"</formula>
    </cfRule>
  </conditionalFormatting>
  <conditionalFormatting sqref="AD530:AD531">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3">
    <dataValidation type="whole" operator="greaterThanOrEqual" allowBlank="1" showInputMessage="1" showErrorMessage="1" sqref="H115:H450 H13:H108 H463:H537">
      <formula1>0</formula1>
    </dataValidation>
    <dataValidation allowBlank="1" showInputMessage="1" sqref="AG13:AG102 AG115:AG138 AG140:AG189 AG191:AG318 AG331:AG372 AG397:AG450 AG463:AG479 AG481:AG537"/>
    <dataValidation type="decimal" operator="greaterThanOrEqual" allowBlank="1" showErrorMessage="1" sqref="H109 H451 H457">
      <formula1>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55">
        <x14:dataValidation type="list" allowBlank="1" showInputMessage="1" showErrorMessage="1">
          <x14:formula1>
            <xm:f>'Tabla Valoración controles'!$D$4:$D$6</xm:f>
          </x14:formula1>
          <xm:sqref>S13:S66</xm:sqref>
        </x14:dataValidation>
        <x14:dataValidation type="list" allowBlank="1" showInputMessage="1" showErrorMessage="1">
          <x14:formula1>
            <xm:f>'Tabla Valoración controles'!$D$7:$D$8</xm:f>
          </x14:formula1>
          <xm:sqref>T13:T66</xm:sqref>
        </x14:dataValidation>
        <x14:dataValidation type="list" allowBlank="1" showInputMessage="1" showErrorMessage="1">
          <x14:formula1>
            <xm:f>'Tabla Valoración controles'!$D$9:$D$10</xm:f>
          </x14:formula1>
          <xm:sqref>V13:V66</xm:sqref>
        </x14:dataValidation>
        <x14:dataValidation type="list" allowBlank="1" showInputMessage="1" showErrorMessage="1">
          <x14:formula1>
            <xm:f>'Tabla Valoración controles'!$D$11:$D$12</xm:f>
          </x14:formula1>
          <xm:sqref>W13:W66</xm:sqref>
        </x14:dataValidation>
        <x14:dataValidation type="list" allowBlank="1" showInputMessage="1" showErrorMessage="1">
          <x14:formula1>
            <xm:f>'Tabla Valoración controles'!$D$13:$D$14</xm:f>
          </x14:formula1>
          <xm:sqref>X13:X66</xm:sqref>
        </x14:dataValidation>
        <x14:dataValidation type="list" allowBlank="1" showInputMessage="1" showErrorMessage="1">
          <x14:formula1>
            <xm:f>'Opciones Tratamiento'!$B$13:$B$19</xm:f>
          </x14:formula1>
          <xm:sqref>G13:G66</xm:sqref>
        </x14:dataValidation>
        <x14:dataValidation type="list" allowBlank="1" showInputMessage="1" showErrorMessage="1">
          <x14:formula1>
            <xm:f>'Opciones Tratamiento'!$B$2:$B$5</xm:f>
          </x14:formula1>
          <xm:sqref>AE13:AE66</xm:sqref>
        </x14:dataValidation>
        <x14:dataValidation type="list" allowBlank="1" showInputMessage="1" showErrorMessage="1">
          <x14:formula1>
            <xm:f>'Tabla Impacto'!$F$210:$F$221</xm:f>
          </x14:formula1>
          <xm:sqref>K13:K66</xm:sqref>
        </x14:dataValidation>
        <x14:dataValidation type="custom" allowBlank="1" showInputMessage="1" showErrorMessage="1" error="Recuerde que las acciones se generan bajo la medida de mitigar el riesgo">
          <x14:formula1>
            <xm:f>IF(OR(AE13='Opciones Tratamiento'!$B$2,AE13='Opciones Tratamiento'!$B$3,AE13='Opciones Tratamiento'!$B$4),ISBLANK(AE13),ISTEXT(AE13))</xm:f>
          </x14:formula1>
          <xm:sqref>AK13:AK66</xm:sqref>
        </x14:dataValidation>
        <x14:dataValidation type="custom" allowBlank="1" showInputMessage="1" showErrorMessage="1" error="Recuerde que las acciones se generan bajo la medida de mitigar el riesgo">
          <x14:formula1>
            <xm:f>IF(OR(AG13='Opciones Tratamiento'!$B$2,AG13='Opciones Tratamiento'!$B$3,AG13='Opciones Tratamiento'!$B$4),ISBLANK(AG13),ISTEXT(AG13))</xm:f>
          </x14:formula1>
          <xm:sqref>AJ13:AJ66</xm:sqref>
        </x14:dataValidation>
        <x14:dataValidation type="custom" allowBlank="1" showInputMessage="1" showErrorMessage="1" error="Recuerde que las acciones se generan bajo la medida de mitigar el riesgo">
          <x14:formula1>
            <xm:f>IF(OR(AE13='Opciones Tratamiento'!$B$2,AE13='Opciones Tratamiento'!$B$3,AE13='Opciones Tratamiento'!$B$4),ISBLANK(AE13),ISTEXT(AE13))</xm:f>
          </x14:formula1>
          <xm:sqref>AL13:AL66</xm:sqref>
        </x14:dataValidation>
        <x14:dataValidation type="list" allowBlank="1" showInputMessage="1" showErrorMessage="1">
          <x14:formula1>
            <xm:f>'Opciones Tratamiento'!$B$34:$B$57</xm:f>
          </x14:formula1>
          <xm:sqref>B19 B25:B66</xm:sqref>
        </x14:dataValidation>
        <x14:dataValidation type="list" allowBlank="1" showInputMessage="1" showErrorMessage="1">
          <x14:formula1>
            <xm:f>'Opciones Tratamiento'!$E$2:$E$4</xm:f>
          </x14:formula1>
          <xm:sqref>C13:C66</xm:sqref>
        </x14:dataValidation>
        <x14:dataValidation type="list" allowBlank="1" showInputMessage="1" showErrorMessage="1">
          <x14:formula1>
            <xm:f>'Opciones Tratamiento'!$B$34:$B$59</xm:f>
          </x14:formula1>
          <xm:sqref>B13:B18</xm:sqref>
        </x14:dataValidation>
        <x14:dataValidation type="custom" allowBlank="1" showInputMessage="1" showErrorMessage="1" error="Recuerde que las acciones se generan bajo la medida de mitigar el riesgo">
          <x14:formula1>
            <xm:f>IF(OR(AF13='Opciones Tratamiento'!$B$2,AF13='Opciones Tratamiento'!$B$3,AF13='Opciones Tratamiento'!$B$4),ISBLANK(AF13),ISTEXT(AF13))</xm:f>
          </x14:formula1>
          <xm:sqref>AH13:AI66</xm:sqref>
        </x14:dataValidation>
        <x14:dataValidation type="custom" errorStyle="information" allowBlank="1" showInputMessage="1" showErrorMessage="1" error="Recuerde que las acciones se generan bajo la medida de Compartir o Reducir el riesgo_x000a_">
          <x14:formula1>
            <xm:f>IF(OR(AE13='Opciones Tratamiento'!$B$2,AE13='Opciones Tratamiento'!$B$3),ISBLANK(AE13),ISTEXT(AE13))</xm:f>
          </x14:formula1>
          <xm:sqref>AF13:AF66</xm:sqref>
        </x14:dataValidation>
        <x14:dataValidation type="custom" allowBlank="1" showInputMessage="1" showErrorMessage="1" error="Recuerde que las acciones se generan bajo la medida de mitigar el riesgo">
          <x14:formula1>
            <xm:f>IF(OR(AG69='[1]Opciones Tratamiento'!#REF!,AG69='[1]Opciones Tratamiento'!#REF!,AG69='[1]Opciones Tratamiento'!#REF!),ISBLANK(AG69),ISTEXT(AG69))</xm:f>
          </x14:formula1>
          <xm:sqref>AI67</xm:sqref>
        </x14:dataValidation>
        <x14:dataValidation type="custom" allowBlank="1" showInputMessage="1" showErrorMessage="1" error="Recuerde que las acciones se generan bajo la medida de mitigar el riesgo">
          <x14:formula1>
            <xm:f>IF(OR(AE69='[1]Opciones Tratamiento'!#REF!,AE69='[1]Opciones Tratamiento'!#REF!,AE69='[1]Opciones Tratamiento'!#REF!),ISBLANK(AE69),ISTEXT(AE69))</xm:f>
          </x14:formula1>
          <xm:sqref>AL67</xm:sqref>
        </x14:dataValidation>
        <x14:dataValidation type="custom" allowBlank="1" showInputMessage="1" showErrorMessage="1" error="Recuerde que las acciones se generan bajo la medida de mitigar el riesgo">
          <x14:formula1>
            <xm:f>IF(OR(AE68='[1]Opciones Tratamiento'!#REF!,AE68='[1]Opciones Tratamiento'!#REF!,AE68='[1]Opciones Tratamiento'!#REF!),ISBLANK(AE68),ISTEXT(AE68))</xm:f>
          </x14:formula1>
          <xm:sqref>AL70:AL72 AL68</xm:sqref>
        </x14:dataValidation>
        <x14:dataValidation type="custom" allowBlank="1" showInputMessage="1" showErrorMessage="1" error="Recuerde que las acciones se generan bajo la medida de mitigar el riesgo">
          <x14:formula1>
            <xm:f>IF(OR(AG69='[1]Opciones Tratamiento'!#REF!,AG69='[1]Opciones Tratamiento'!#REF!,AG69='[1]Opciones Tratamiento'!#REF!),ISBLANK(AG69),ISTEXT(AG69))</xm:f>
          </x14:formula1>
          <xm:sqref>AJ67</xm:sqref>
        </x14:dataValidation>
        <x14:dataValidation type="custom" allowBlank="1" showInputMessage="1" showErrorMessage="1" error="Recuerde que las acciones se generan bajo la medida de mitigar el riesgo">
          <x14:formula1>
            <xm:f>IF(OR(AG68='[1]Opciones Tratamiento'!#REF!,AG68='[1]Opciones Tratamiento'!#REF!,AG68='[1]Opciones Tratamiento'!#REF!),ISBLANK(AG68),ISTEXT(AG68))</xm:f>
          </x14:formula1>
          <xm:sqref>AJ70:AJ72 AJ68</xm:sqref>
        </x14:dataValidation>
        <x14:dataValidation type="custom" allowBlank="1" showInputMessage="1" showErrorMessage="1" error="Recuerde que las acciones se generan bajo la medida de mitigar el riesgo">
          <x14:formula1>
            <xm:f>IF(OR(AE69='[1]Opciones Tratamiento'!#REF!,AE69='[1]Opciones Tratamiento'!#REF!,AE69='[1]Opciones Tratamiento'!#REF!),ISBLANK(AE69),ISTEXT(AE69))</xm:f>
          </x14:formula1>
          <xm:sqref>AK67</xm:sqref>
        </x14:dataValidation>
        <x14:dataValidation type="custom" allowBlank="1" showInputMessage="1" showErrorMessage="1" error="Recuerde que las acciones se generan bajo la medida de mitigar el riesgo">
          <x14:formula1>
            <xm:f>IF(OR(AE68='[1]Opciones Tratamiento'!#REF!,AE68='[1]Opciones Tratamiento'!#REF!,AE68='[1]Opciones Tratamiento'!#REF!),ISBLANK(AE68),ISTEXT(AE68))</xm:f>
          </x14:formula1>
          <xm:sqref>AK70:AK72 AK68</xm:sqref>
        </x14:dataValidation>
        <x14:dataValidation type="custom" errorStyle="information" allowBlank="1" showInputMessage="1" showErrorMessage="1" error="Recuerde que las acciones se generan bajo la medida de Compartir o Reducir el riesgo_x000a_">
          <x14:formula1>
            <xm:f>IF(OR(AE67='[1]Opciones Tratamiento'!#REF!,AE67='[1]Opciones Tratamiento'!#REF!),ISBLANK(AE67),ISTEXT(AE67))</xm:f>
          </x14:formula1>
          <xm:sqref>AF67:AF72</xm:sqref>
        </x14:dataValidation>
        <x14:dataValidation type="custom" allowBlank="1" showInputMessage="1" showErrorMessage="1" error="Recuerde que las acciones se generan bajo la medida de mitigar el riesgo">
          <x14:formula1>
            <xm:f>IF(OR(AF67='[1]Opciones Tratamiento'!#REF!,AF67='[1]Opciones Tratamiento'!#REF!,AF67='[1]Opciones Tratamiento'!#REF!),ISBLANK(AF67),ISTEXT(AF67))</xm:f>
          </x14:formula1>
          <xm:sqref>AI70:AI72 AI68 AH67:AH72 AH115:AI138 AH73:AI102 AH140:AI222 AH229:AI258</xm:sqref>
        </x14:dataValidation>
        <x14:dataValidation type="list" allowBlank="1" showInputMessage="1" showErrorMessage="1">
          <x14:formula1>
            <xm:f>'[1]Opciones Tratamiento'!#REF!</xm:f>
          </x14:formula1>
          <xm:sqref>G229:G258 B163:B199 B145:B157 AE229:AE258 B229:C258 B127:B139 AE67:AE78 B115:B121 G91:G102 AE91:AE102 C91:C102 B91:B97 B67:C78 G67:G78 C115:C222 AE115:AE222 G115:G222 B205:B222</xm:sqref>
        </x14:dataValidation>
        <x14:dataValidation type="list" allowBlank="1" showInputMessage="1" showErrorMessage="1">
          <x14:formula1>
            <xm:f>'[1]Tabla Impacto'!#REF!</xm:f>
          </x14:formula1>
          <xm:sqref>K67:K78 K115:K204 K91:K102 K211:K222 K229:K258</xm:sqref>
        </x14:dataValidation>
        <x14:dataValidation type="list" allowBlank="1" showInputMessage="1" showErrorMessage="1">
          <x14:formula1>
            <xm:f>'[1]Tabla Valoración controles'!#REF!</xm:f>
          </x14:formula1>
          <xm:sqref>V229:X258 V67:X78 S91:T102 V91:X102 S67:T78 V115:X222 S115:T222 S229:T258</xm:sqref>
        </x14:dataValidation>
        <x14:dataValidation type="custom" errorStyle="information" allowBlank="1" showInputMessage="1" showErrorMessage="1" error="Recuerde que las acciones se generan bajo la medida de Compartir o Reducir el riesgo_x000a_">
          <x14:formula1>
            <xm:f>IF(OR(AE73='[1]Opciones Tratamiento'!#REF!,AE73='[1]Opciones Tratamiento'!#REF!),ISBLANK(AE73),ISTEXT(AE73))</xm:f>
          </x14:formula1>
          <xm:sqref>AF73:AF102 AF115:AF132 AF193:AF222 AF229:AF258</xm:sqref>
        </x14:dataValidation>
        <x14:dataValidation type="custom" allowBlank="1" showInputMessage="1" showErrorMessage="1" error="Recuerde que las acciones se generan bajo la medida de mitigar el riesgo">
          <x14:formula1>
            <xm:f>IF(OR(AE73='[1]Opciones Tratamiento'!#REF!,AE73='[1]Opciones Tratamiento'!#REF!,AE73='[1]Opciones Tratamiento'!#REF!),ISBLANK(AE73),ISTEXT(AE73))</xm:f>
          </x14:formula1>
          <xm:sqref>AL73:AL78 AL91:AL102 AL146:AL150 AL140:AL144 AL115:AL138 AL193:AL222 AL229:AL258</xm:sqref>
        </x14:dataValidation>
        <x14:dataValidation type="custom" allowBlank="1" showInputMessage="1" showErrorMessage="1" error="Recuerde que las acciones se generan bajo la medida de mitigar el riesgo">
          <x14:formula1>
            <xm:f>IF(OR(AG73='[1]Opciones Tratamiento'!#REF!,AG73='[1]Opciones Tratamiento'!#REF!,AG73='[1]Opciones Tratamiento'!#REF!),ISBLANK(AG73),ISTEXT(AG73))</xm:f>
          </x14:formula1>
          <xm:sqref>AJ73:AJ102 AJ140:AJ150 AJ115:AJ138 AJ193:AJ222 AJ229:AJ258</xm:sqref>
        </x14:dataValidation>
        <x14:dataValidation type="custom" allowBlank="1" showInputMessage="1" showErrorMessage="1" error="Recuerde que las acciones se generan bajo la medida de mitigar el riesgo">
          <x14:formula1>
            <xm:f>IF(OR(AE73='[1]Opciones Tratamiento'!#REF!,AE73='[1]Opciones Tratamiento'!#REF!,AE73='[1]Opciones Tratamiento'!#REF!),ISBLANK(AE73),ISTEXT(AE73))</xm:f>
          </x14:formula1>
          <xm:sqref>AK73:AK102 AK146:AK150 AK140:AK144 AK115:AK138 AK193:AK222 AK229:AK258</xm:sqref>
        </x14:dataValidation>
        <x14:dataValidation type="custom" allowBlank="1" showInputMessage="1" showErrorMessage="1" error="Recuerde que las acciones se generan bajo la medida de mitigar el riesgo">
          <x14:formula1>
            <xm:f>IF(OR(AE103='[5]Opciones Tratamiento'!#REF!,AE103='[5]Opciones Tratamiento'!#REF!,AE103='[5]Opciones Tratamiento'!#REF!),ISBLANK(AE103),ISTEXT(AE103))</xm:f>
          </x14:formula1>
          <xm:sqref>AG103:AI108</xm:sqref>
        </x14:dataValidation>
        <x14:dataValidation type="list" allowBlank="1" showInputMessage="1" showErrorMessage="1">
          <x14:formula1>
            <xm:f>'[5]Opciones Tratamiento'!#REF!</xm:f>
          </x14:formula1>
          <xm:sqref>G103:G108 AE103:AE108 B103:C108</xm:sqref>
        </x14:dataValidation>
        <x14:dataValidation type="custom" allowBlank="1" showInputMessage="1" showErrorMessage="1" error="Recuerde que las acciones se generan bajo la medida de mitigar el riesgo">
          <x14:formula1>
            <xm:f>IF(OR(AE103='[5]Opciones Tratamiento'!#REF!,AE103='[5]Opciones Tratamiento'!#REF!,AE103='[5]Opciones Tratamiento'!#REF!),ISBLANK(AE103),ISTEXT(AE103))</xm:f>
          </x14:formula1>
          <xm:sqref>AL103:AL108</xm:sqref>
        </x14:dataValidation>
        <x14:dataValidation type="custom" allowBlank="1" showInputMessage="1" showErrorMessage="1" error="Recuerde que las acciones se generan bajo la medida de mitigar el riesgo">
          <x14:formula1>
            <xm:f>IF(OR(AG103='[5]Opciones Tratamiento'!#REF!,AG103='[5]Opciones Tratamiento'!#REF!,AG103='[5]Opciones Tratamiento'!#REF!),ISBLANK(AG103),ISTEXT(AG103))</xm:f>
          </x14:formula1>
          <xm:sqref>AJ103:AJ108</xm:sqref>
        </x14:dataValidation>
        <x14:dataValidation type="custom" allowBlank="1" showInputMessage="1" showErrorMessage="1" error="Recuerde que las acciones se generan bajo la medida de mitigar el riesgo">
          <x14:formula1>
            <xm:f>IF(OR(AE103='[5]Opciones Tratamiento'!#REF!,AE103='[5]Opciones Tratamiento'!#REF!,AE103='[5]Opciones Tratamiento'!#REF!),ISBLANK(AE103),ISTEXT(AE103))</xm:f>
          </x14:formula1>
          <xm:sqref>AK103:AK108</xm:sqref>
        </x14:dataValidation>
        <x14:dataValidation type="list" allowBlank="1" showInputMessage="1" showErrorMessage="1">
          <x14:formula1>
            <xm:f>'[5]Tabla Impacto'!#REF!</xm:f>
          </x14:formula1>
          <xm:sqref>K103:K108</xm:sqref>
        </x14:dataValidation>
        <x14:dataValidation type="list" allowBlank="1" showInputMessage="1" showErrorMessage="1">
          <x14:formula1>
            <xm:f>'[5]Tabla Valoración controles'!#REF!</xm:f>
          </x14:formula1>
          <xm:sqref>S103:T108 V103:X108</xm:sqref>
        </x14:dataValidation>
        <x14:dataValidation type="list" allowBlank="1" showErrorMessage="1">
          <x14:formula1>
            <xm:f>'[6]Opciones Tratamiento'!#REF!</xm:f>
          </x14:formula1>
          <xm:sqref>AE109:AE114 G109 B109:C109</xm:sqref>
        </x14:dataValidation>
        <x14:dataValidation type="custom" allowBlank="1" showInputMessage="1" showErrorMessage="1" prompt="Recuerde que las acciones se generan bajo la medida de mitigar el riesgo">
          <x14:formula1>
            <xm:f>IF(OR(AE109='[6]Opciones Tratamiento'!#REF!,AE109='[6]Opciones Tratamiento'!#REF!,AE109='[6]Opciones Tratamiento'!#REF!),ISBLANK(AE109),ISTEXT(AE109))</xm:f>
          </x14:formula1>
          <xm:sqref>AL109:AL114</xm:sqref>
        </x14:dataValidation>
        <x14:dataValidation type="custom" allowBlank="1" showInputMessage="1" prompt="Recuerde que las acciones se generan bajo la medida de Compartir o Reducir el riesgo_x000a_">
          <x14:formula1>
            <xm:f>IF(OR(AE109='[6]Opciones Tratamiento'!#REF!,AE109='[6]Opciones Tratamiento'!#REF!),ISBLANK(AE109),ISTEXT(AE109))</xm:f>
          </x14:formula1>
          <xm:sqref>AF109:AF114</xm:sqref>
        </x14:dataValidation>
        <x14:dataValidation type="custom" allowBlank="1" showInputMessage="1" showErrorMessage="1" prompt="Recuerde que las acciones se generan bajo la medida de mitigar el riesgo">
          <x14:formula1>
            <xm:f>IF(OR(AE109='[6]Opciones Tratamiento'!#REF!,AE109='[6]Opciones Tratamiento'!#REF!,AE109='[6]Opciones Tratamiento'!#REF!),ISBLANK(AE109),ISTEXT(AE109))</xm:f>
          </x14:formula1>
          <xm:sqref>AK109:AK114</xm:sqref>
        </x14:dataValidation>
        <x14:dataValidation type="list" allowBlank="1" showErrorMessage="1">
          <x14:formula1>
            <xm:f>'[6]Tabla Valoración controles'!#REF!</xm:f>
          </x14:formula1>
          <xm:sqref>S109:T114 V109:X114</xm:sqref>
        </x14:dataValidation>
        <x14:dataValidation type="custom" allowBlank="1" showInputMessage="1" showErrorMessage="1" prompt="Recuerde que las acciones se generan bajo la medida de mitigar el riesgo">
          <x14:formula1>
            <xm:f>IF(OR(AF109='[6]Opciones Tratamiento'!#REF!,AF109='[6]Opciones Tratamiento'!#REF!,AF109='[6]Opciones Tratamiento'!#REF!),ISBLANK(AF109),ISTEXT(AF109))</xm:f>
          </x14:formula1>
          <xm:sqref>AH109:AI114</xm:sqref>
        </x14:dataValidation>
        <x14:dataValidation type="custom" allowBlank="1" showInputMessage="1" showErrorMessage="1" prompt="Recuerde que las acciones se generan bajo la medida de mitigar el riesgo">
          <x14:formula1>
            <xm:f>IF(OR(AG109='[6]Opciones Tratamiento'!#REF!,AG109='[6]Opciones Tratamiento'!#REF!,AG109='[6]Opciones Tratamiento'!#REF!),ISBLANK(AG109),ISTEXT(AG109))</xm:f>
          </x14:formula1>
          <xm:sqref>AJ109:AJ114</xm:sqref>
        </x14:dataValidation>
        <x14:dataValidation type="list" allowBlank="1" showErrorMessage="1">
          <x14:formula1>
            <xm:f>'[6]Tabla Impacto'!#REF!</xm:f>
          </x14:formula1>
          <xm:sqref>K109</xm:sqref>
        </x14:dataValidation>
        <x14:dataValidation type="custom" errorStyle="information" allowBlank="1" showInputMessage="1" showErrorMessage="1" error="Recuerde que las acciones se generan bajo la medida de Compartir o Reducir el riesgo_x000a_">
          <x14:formula1>
            <xm:f>IF(OR(AE139='[1]Opciones Tratamiento'!#REF!,AE139='[1]Opciones Tratamiento'!#REF!),ISBLANK(AE139),ISTEXT(AE139))</xm:f>
          </x14:formula1>
          <xm:sqref>AF145</xm:sqref>
        </x14:dataValidation>
        <x14:dataValidation type="custom" allowBlank="1" showInputMessage="1" showErrorMessage="1" error="Recuerde que las acciones se generan bajo la medida de mitigar el riesgo">
          <x14:formula1>
            <xm:f>IF(OR(AE139='[1]Opciones Tratamiento'!#REF!,AE139='[1]Opciones Tratamiento'!#REF!,AE139='[1]Opciones Tratamiento'!#REF!),ISBLANK(AE139),ISTEXT(AE139))</xm:f>
          </x14:formula1>
          <xm:sqref>AL145</xm:sqref>
        </x14:dataValidation>
        <x14:dataValidation type="custom" allowBlank="1" showInputMessage="1" showErrorMessage="1" error="Recuerde que las acciones se generan bajo la medida de mitigar el riesgo">
          <x14:formula1>
            <xm:f>IF(OR(AE139='[1]Opciones Tratamiento'!#REF!,AE139='[1]Opciones Tratamiento'!#REF!,AE139='[1]Opciones Tratamiento'!#REF!),ISBLANK(AE139),ISTEXT(AE139))</xm:f>
          </x14:formula1>
          <xm:sqref>AK145</xm:sqref>
        </x14:dataValidation>
        <x14:dataValidation type="custom" errorStyle="information" allowBlank="1" showInputMessage="1" showErrorMessage="1" error="Recuerde que las acciones se generan bajo la medida de Compartir o Reducir el riesgo_x000a_">
          <x14:formula1>
            <xm:f>IF(OR(AE133='[1]Opciones Tratamiento'!#REF!,AE133='[1]Opciones Tratamiento'!#REF!),ISBLANK(AE133),ISTEXT(AE133))</xm:f>
          </x14:formula1>
          <xm:sqref>AF146:AF150 AF133:AF138 AF140:AF144</xm:sqref>
        </x14:dataValidation>
        <x14:dataValidation type="custom" allowBlank="1" showInputMessage="1" showErrorMessage="1" error="Recuerde que las acciones se generan bajo la medida de mitigar el riesgo">
          <x14:formula1>
            <xm:f>IF(OR(AG151='[1]Opciones Tratamiento'!#REF!,AG151='[1]Opciones Tratamiento'!#REF!,AG151='[1]Opciones Tratamiento'!#REF!),ISBLANK(AG151),ISTEXT(AG151))</xm:f>
          </x14:formula1>
          <xm:sqref>AJ151:AJ192</xm:sqref>
        </x14:dataValidation>
        <x14:dataValidation type="custom" errorStyle="information" allowBlank="1" showInputMessage="1" showErrorMessage="1" error="Recuerde que las acciones se generan bajo la medida de Compartir o Reducir el riesgo_x000a_">
          <x14:formula1>
            <xm:f>IF(OR(AE190='[1]Opciones Tratamiento'!#REF!,AE190='[1]Opciones Tratamiento'!#REF!),ISBLANK(AE190),ISTEXT(AE190))</xm:f>
          </x14:formula1>
          <xm:sqref>AF188</xm:sqref>
        </x14:dataValidation>
        <x14:dataValidation type="custom" errorStyle="information" allowBlank="1" showInputMessage="1" showErrorMessage="1" error="Recuerde que las acciones se generan bajo la medida de Compartir o Reducir el riesgo_x000a_">
          <x14:formula1>
            <xm:f>IF(OR(AE151='[1]Opciones Tratamiento'!#REF!,AE151='[1]Opciones Tratamiento'!#REF!),ISBLANK(AE151),ISTEXT(AE151))</xm:f>
          </x14:formula1>
          <xm:sqref>AF151:AF187 AF191:AF192</xm:sqref>
        </x14:dataValidation>
        <x14:dataValidation type="custom" allowBlank="1" showInputMessage="1" showErrorMessage="1" error="Recuerde que las acciones se generan bajo la medida de mitigar el riesgo">
          <x14:formula1>
            <xm:f>IF(OR(AE151='[1]Opciones Tratamiento'!#REF!,AE151='[1]Opciones Tratamiento'!#REF!,AE151='[1]Opciones Tratamiento'!#REF!),ISBLANK(AE151),ISTEXT(AE151))</xm:f>
          </x14:formula1>
          <xm:sqref>AK151:AK176 AK178:AK192</xm:sqref>
        </x14:dataValidation>
        <x14:dataValidation type="custom" allowBlank="1" showInputMessage="1" showErrorMessage="1" error="Recuerde que las acciones se generan bajo la medida de mitigar el riesgo">
          <x14:formula1>
            <xm:f>IF(OR(AE151='[1]Opciones Tratamiento'!#REF!,AE151='[1]Opciones Tratamiento'!#REF!,AE151='[1]Opciones Tratamiento'!#REF!),ISBLANK(AE151),ISTEXT(AE151))</xm:f>
          </x14:formula1>
          <xm:sqref>AL151:AL192</xm:sqref>
        </x14:dataValidation>
        <x14:dataValidation type="custom" allowBlank="1" showInputMessage="1" showErrorMessage="1" error="Recuerde que las acciones se generan bajo la medida de mitigar el riesgo">
          <x14:formula1>
            <xm:f>IF(OR(AF259='[15]Opciones Tratamiento'!#REF!,AF259='[15]Opciones Tratamiento'!#REF!,AF259='[15]Opciones Tratamiento'!#REF!),ISBLANK(AF259),ISTEXT(AF259))</xm:f>
          </x14:formula1>
          <xm:sqref>AH259:AI276</xm:sqref>
        </x14:dataValidation>
        <x14:dataValidation type="custom" errorStyle="information" allowBlank="1" showInputMessage="1" showErrorMessage="1" error="Recuerde que las acciones se generan bajo la medida de Compartir o Reducir el riesgo_x000a_">
          <x14:formula1>
            <xm:f>IF(OR(AE261='[15]Opciones Tratamiento'!#REF!,AE261='[15]Opciones Tratamiento'!#REF!),ISBLANK(AE261),ISTEXT(AE261))</xm:f>
          </x14:formula1>
          <xm:sqref>AF262</xm:sqref>
        </x14:dataValidation>
        <x14:dataValidation type="custom" errorStyle="information" allowBlank="1" showInputMessage="1" showErrorMessage="1" error="Recuerde que las acciones se generan bajo la medida de Compartir o Reducir el riesgo_x000a_">
          <x14:formula1>
            <xm:f>IF(OR(AE262='[15]Opciones Tratamiento'!#REF!,AE262='[15]Opciones Tratamiento'!#REF!),ISBLANK(AE262),ISTEXT(AE262))</xm:f>
          </x14:formula1>
          <xm:sqref>AF261</xm:sqref>
        </x14:dataValidation>
        <x14:dataValidation type="custom" errorStyle="information" allowBlank="1" showInputMessage="1" showErrorMessage="1" error="Recuerde que las acciones se generan bajo la medida de Compartir o Reducir el riesgo_x000a_">
          <x14:formula1>
            <xm:f>IF(OR(AE259='[15]Opciones Tratamiento'!#REF!,AE259='[15]Opciones Tratamiento'!#REF!),ISBLANK(AE259),ISTEXT(AE259))</xm:f>
          </x14:formula1>
          <xm:sqref>AF265:AF276 AF263 AF259:AF260</xm:sqref>
        </x14:dataValidation>
        <x14:dataValidation type="list" allowBlank="1" showInputMessage="1" showErrorMessage="1">
          <x14:formula1>
            <xm:f>'[15]Opciones Tratamiento'!#REF!</xm:f>
          </x14:formula1>
          <xm:sqref>G259:G276 AE259:AE276 B259:B265 B271:B276 C259:C276</xm:sqref>
        </x14:dataValidation>
        <x14:dataValidation type="custom" allowBlank="1" showInputMessage="1" showErrorMessage="1" error="Recuerde que las acciones se generan bajo la medida de mitigar el riesgo">
          <x14:formula1>
            <xm:f>IF(OR(AE259='[15]Opciones Tratamiento'!#REF!,AE259='[15]Opciones Tratamiento'!#REF!,AE259='[15]Opciones Tratamiento'!#REF!),ISBLANK(AE259),ISTEXT(AE259))</xm:f>
          </x14:formula1>
          <xm:sqref>AL259:AL276</xm:sqref>
        </x14:dataValidation>
        <x14:dataValidation type="custom" allowBlank="1" showInputMessage="1" showErrorMessage="1" error="Recuerde que las acciones se generan bajo la medida de mitigar el riesgo">
          <x14:formula1>
            <xm:f>IF(OR(AG259='[15]Opciones Tratamiento'!#REF!,AG259='[15]Opciones Tratamiento'!#REF!,AG259='[15]Opciones Tratamiento'!#REF!),ISBLANK(AG259),ISTEXT(AG259))</xm:f>
          </x14:formula1>
          <xm:sqref>AJ259:AJ276</xm:sqref>
        </x14:dataValidation>
        <x14:dataValidation type="custom" allowBlank="1" showInputMessage="1" showErrorMessage="1" error="Recuerde que las acciones se generan bajo la medida de mitigar el riesgo">
          <x14:formula1>
            <xm:f>IF(OR(AE259='[15]Opciones Tratamiento'!#REF!,AE259='[15]Opciones Tratamiento'!#REF!,AE259='[15]Opciones Tratamiento'!#REF!),ISBLANK(AE259),ISTEXT(AE259))</xm:f>
          </x14:formula1>
          <xm:sqref>AK259:AK276</xm:sqref>
        </x14:dataValidation>
        <x14:dataValidation type="list" allowBlank="1" showInputMessage="1" showErrorMessage="1">
          <x14:formula1>
            <xm:f>'[15]Tabla Impacto'!#REF!</xm:f>
          </x14:formula1>
          <xm:sqref>K259:K276</xm:sqref>
        </x14:dataValidation>
        <x14:dataValidation type="list" allowBlank="1" showInputMessage="1" showErrorMessage="1">
          <x14:formula1>
            <xm:f>'[15]Tabla Valoración controles'!#REF!</xm:f>
          </x14:formula1>
          <xm:sqref>S259:T276 V259:X276</xm:sqref>
        </x14:dataValidation>
        <x14:dataValidation type="custom" errorStyle="information" allowBlank="1" showInputMessage="1" showErrorMessage="1" error="Recuerde que las acciones se generan bajo la medida de Compartir o Reducir el riesgo_x000a_">
          <x14:formula1>
            <xm:f>IF(OR(AE277='[16]Opciones Tratamiento'!#REF!,AE277='[16]Opciones Tratamiento'!#REF!),ISBLANK(AE277),ISTEXT(AE277))</xm:f>
          </x14:formula1>
          <xm:sqref>AF277:AF288</xm:sqref>
        </x14:dataValidation>
        <x14:dataValidation type="custom" allowBlank="1" showInputMessage="1" showErrorMessage="1" error="Recuerde que las acciones se generan bajo la medida de mitigar el riesgo">
          <x14:formula1>
            <xm:f>IF(OR(AF277='[16]Opciones Tratamiento'!#REF!,AF277='[16]Opciones Tratamiento'!#REF!,AF277='[16]Opciones Tratamiento'!#REF!),ISBLANK(AF277),ISTEXT(AF277))</xm:f>
          </x14:formula1>
          <xm:sqref>AH277:AI288</xm:sqref>
        </x14:dataValidation>
        <x14:dataValidation type="list" allowBlank="1" showInputMessage="1" showErrorMessage="1">
          <x14:formula1>
            <xm:f>'[16]Opciones Tratamiento'!#REF!</xm:f>
          </x14:formula1>
          <xm:sqref>G277:G288 AE277:AE288 B277:B283 C277:C288</xm:sqref>
        </x14:dataValidation>
        <x14:dataValidation type="custom" allowBlank="1" showInputMessage="1" showErrorMessage="1" error="Recuerde que las acciones se generan bajo la medida de mitigar el riesgo">
          <x14:formula1>
            <xm:f>IF(OR(AE277='[16]Opciones Tratamiento'!#REF!,AE277='[16]Opciones Tratamiento'!#REF!,AE277='[16]Opciones Tratamiento'!#REF!),ISBLANK(AE277),ISTEXT(AE277))</xm:f>
          </x14:formula1>
          <xm:sqref>AL277:AL288</xm:sqref>
        </x14:dataValidation>
        <x14:dataValidation type="custom" allowBlank="1" showInputMessage="1" showErrorMessage="1" error="Recuerde que las acciones se generan bajo la medida de mitigar el riesgo">
          <x14:formula1>
            <xm:f>IF(OR(AG277='[16]Opciones Tratamiento'!#REF!,AG277='[16]Opciones Tratamiento'!#REF!,AG277='[16]Opciones Tratamiento'!#REF!),ISBLANK(AG277),ISTEXT(AG277))</xm:f>
          </x14:formula1>
          <xm:sqref>AJ277:AJ288</xm:sqref>
        </x14:dataValidation>
        <x14:dataValidation type="custom" allowBlank="1" showInputMessage="1" showErrorMessage="1" error="Recuerde que las acciones se generan bajo la medida de mitigar el riesgo">
          <x14:formula1>
            <xm:f>IF(OR(AE277='[16]Opciones Tratamiento'!#REF!,AE277='[16]Opciones Tratamiento'!#REF!,AE277='[16]Opciones Tratamiento'!#REF!),ISBLANK(AE277),ISTEXT(AE277))</xm:f>
          </x14:formula1>
          <xm:sqref>AK277:AK288</xm:sqref>
        </x14:dataValidation>
        <x14:dataValidation type="list" allowBlank="1" showInputMessage="1" showErrorMessage="1">
          <x14:formula1>
            <xm:f>'[16]Tabla Impacto'!#REF!</xm:f>
          </x14:formula1>
          <xm:sqref>K277:K288</xm:sqref>
        </x14:dataValidation>
        <x14:dataValidation type="list" allowBlank="1" showInputMessage="1" showErrorMessage="1">
          <x14:formula1>
            <xm:f>'[16]Tabla Valoración controles'!#REF!</xm:f>
          </x14:formula1>
          <xm:sqref>S277:T288 V277:X288</xm:sqref>
        </x14:dataValidation>
        <x14:dataValidation type="custom" errorStyle="information" allowBlank="1" showInputMessage="1" showErrorMessage="1" error="Recuerde que las acciones se generan bajo la medida de Compartir o Reducir el riesgo_x000a_">
          <x14:formula1>
            <xm:f>IF(OR(AE289='[17]Opciones Tratamiento'!#REF!,AE289='[17]Opciones Tratamiento'!#REF!),ISBLANK(AE289),ISTEXT(AE289))</xm:f>
          </x14:formula1>
          <xm:sqref>AF289:AF318</xm:sqref>
        </x14:dataValidation>
        <x14:dataValidation type="custom" allowBlank="1" showInputMessage="1" showErrorMessage="1" error="Recuerde que las acciones se generan bajo la medida de mitigar el riesgo">
          <x14:formula1>
            <xm:f>IF(OR(AF289='[17]Opciones Tratamiento'!#REF!,AF289='[17]Opciones Tratamiento'!#REF!,AF289='[17]Opciones Tratamiento'!#REF!),ISBLANK(AF289),ISTEXT(AF289))</xm:f>
          </x14:formula1>
          <xm:sqref>AH289:AI318</xm:sqref>
        </x14:dataValidation>
        <x14:dataValidation type="list" allowBlank="1" showInputMessage="1" showErrorMessage="1">
          <x14:formula1>
            <xm:f>'[17]Opciones Tratamiento'!#REF!</xm:f>
          </x14:formula1>
          <xm:sqref>G289:G318 AE289:AE318 B289:B295 B301:B318 C289:C318</xm:sqref>
        </x14:dataValidation>
        <x14:dataValidation type="custom" allowBlank="1" showInputMessage="1" showErrorMessage="1" error="Recuerde que las acciones se generan bajo la medida de mitigar el riesgo">
          <x14:formula1>
            <xm:f>IF(OR(AE289='[17]Opciones Tratamiento'!#REF!,AE289='[17]Opciones Tratamiento'!#REF!,AE289='[17]Opciones Tratamiento'!#REF!),ISBLANK(AE289),ISTEXT(AE289))</xm:f>
          </x14:formula1>
          <xm:sqref>AL289:AL318</xm:sqref>
        </x14:dataValidation>
        <x14:dataValidation type="custom" allowBlank="1" showInputMessage="1" showErrorMessage="1" error="Recuerde que las acciones se generan bajo la medida de mitigar el riesgo">
          <x14:formula1>
            <xm:f>IF(OR(AG289='[17]Opciones Tratamiento'!#REF!,AG289='[17]Opciones Tratamiento'!#REF!,AG289='[17]Opciones Tratamiento'!#REF!),ISBLANK(AG289),ISTEXT(AG289))</xm:f>
          </x14:formula1>
          <xm:sqref>AJ289:AJ318</xm:sqref>
        </x14:dataValidation>
        <x14:dataValidation type="custom" allowBlank="1" showInputMessage="1" showErrorMessage="1" error="Recuerde que las acciones se generan bajo la medida de mitigar el riesgo">
          <x14:formula1>
            <xm:f>IF(OR(AE289='[17]Opciones Tratamiento'!#REF!,AE289='[17]Opciones Tratamiento'!#REF!,AE289='[17]Opciones Tratamiento'!#REF!),ISBLANK(AE289),ISTEXT(AE289))</xm:f>
          </x14:formula1>
          <xm:sqref>AK289:AK318</xm:sqref>
        </x14:dataValidation>
        <x14:dataValidation type="list" allowBlank="1" showInputMessage="1" showErrorMessage="1">
          <x14:formula1>
            <xm:f>'[17]Tabla Impacto'!#REF!</xm:f>
          </x14:formula1>
          <xm:sqref>K289:K318</xm:sqref>
        </x14:dataValidation>
        <x14:dataValidation type="list" allowBlank="1" showInputMessage="1" showErrorMessage="1">
          <x14:formula1>
            <xm:f>'[17]Tabla Valoración controles'!#REF!</xm:f>
          </x14:formula1>
          <xm:sqref>S289:T318 V289:X318</xm:sqref>
        </x14:dataValidation>
        <x14:dataValidation type="custom" allowBlank="1" showInputMessage="1" showErrorMessage="1" error="Recuerde que las acciones se generan bajo la medida de mitigar el riesgo">
          <x14:formula1>
            <xm:f>IF(OR(AE320='[18]Opciones Tratamiento'!#REF!,AE320='[18]Opciones Tratamiento'!#REF!,AE320='[18]Opciones Tratamiento'!#REF!),ISBLANK(AE320),ISTEXT(AE320))</xm:f>
          </x14:formula1>
          <xm:sqref>AL319</xm:sqref>
        </x14:dataValidation>
        <x14:dataValidation type="custom" allowBlank="1" showInputMessage="1" showErrorMessage="1" error="Recuerde que las acciones se generan bajo la medida de mitigar el riesgo">
          <x14:formula1>
            <xm:f>IF(OR(AE321='[18]Opciones Tratamiento'!#REF!,AE321='[18]Opciones Tratamiento'!#REF!,AE321='[18]Opciones Tratamiento'!#REF!),ISBLANK(AE321),ISTEXT(AE321))</xm:f>
          </x14:formula1>
          <xm:sqref>AL321:AL330</xm:sqref>
        </x14:dataValidation>
        <x14:dataValidation type="custom" allowBlank="1" showInputMessage="1" showErrorMessage="1" error="Recuerde que las acciones se generan bajo la medida de mitigar el riesgo">
          <x14:formula1>
            <xm:f>IF(OR(AE320='[18]Opciones Tratamiento'!#REF!,AE320='[18]Opciones Tratamiento'!#REF!,AE320='[18]Opciones Tratamiento'!#REF!),ISBLANK(AE320),ISTEXT(AE320))</xm:f>
          </x14:formula1>
          <xm:sqref>AK319</xm:sqref>
        </x14:dataValidation>
        <x14:dataValidation type="custom" allowBlank="1" showInputMessage="1" showErrorMessage="1" error="Recuerde que las acciones se generan bajo la medida de mitigar el riesgo">
          <x14:formula1>
            <xm:f>IF(OR(AE321='[18]Opciones Tratamiento'!#REF!,AE321='[18]Opciones Tratamiento'!#REF!,AE321='[18]Opciones Tratamiento'!#REF!),ISBLANK(AE321),ISTEXT(AE321))</xm:f>
          </x14:formula1>
          <xm:sqref>AK321:AK330</xm:sqref>
        </x14:dataValidation>
        <x14:dataValidation type="custom" allowBlank="1" showInputMessage="1" showErrorMessage="1" error="Recuerde que las acciones se generan bajo la medida de mitigar el riesgo">
          <x14:formula1>
            <xm:f>IF(OR(AE319='[18]Opciones Tratamiento'!#REF!,AE319='[18]Opciones Tratamiento'!#REF!,AE319='[18]Opciones Tratamiento'!#REF!),ISBLANK(AE319),ISTEXT(AE319))</xm:f>
          </x14:formula1>
          <xm:sqref>AG319:AI330</xm:sqref>
        </x14:dataValidation>
        <x14:dataValidation type="list" allowBlank="1" showInputMessage="1" showErrorMessage="1">
          <x14:formula1>
            <xm:f>'[18]Opciones Tratamiento'!#REF!</xm:f>
          </x14:formula1>
          <xm:sqref>G319:G330 AE319:AE330 B319:B325 C319:C330</xm:sqref>
        </x14:dataValidation>
        <x14:dataValidation type="custom" allowBlank="1" showInputMessage="1" showErrorMessage="1" error="Recuerde que las acciones se generan bajo la medida de mitigar el riesgo">
          <x14:formula1>
            <xm:f>IF(OR(AG319='[18]Opciones Tratamiento'!#REF!,AG319='[18]Opciones Tratamiento'!#REF!,AG319='[18]Opciones Tratamiento'!#REF!),ISBLANK(AG319),ISTEXT(AG319))</xm:f>
          </x14:formula1>
          <xm:sqref>AJ319:AJ330</xm:sqref>
        </x14:dataValidation>
        <x14:dataValidation type="list" allowBlank="1" showInputMessage="1" showErrorMessage="1">
          <x14:formula1>
            <xm:f>'[18]Tabla Impacto'!#REF!</xm:f>
          </x14:formula1>
          <xm:sqref>K319:K330</xm:sqref>
        </x14:dataValidation>
        <x14:dataValidation type="list" allowBlank="1" showInputMessage="1" showErrorMessage="1">
          <x14:formula1>
            <xm:f>'[18]Tabla Valoración controles'!#REF!</xm:f>
          </x14:formula1>
          <xm:sqref>S319:T330 V319:X330</xm:sqref>
        </x14:dataValidation>
        <x14:dataValidation type="custom" errorStyle="information" allowBlank="1" showInputMessage="1" showErrorMessage="1" error="Recuerde que las acciones se generan bajo la medida de Compartir o Reducir el riesgo_x000a_">
          <x14:formula1>
            <xm:f>IF(OR(AE331='[19]Opciones Tratamiento'!#REF!,AE331='[19]Opciones Tratamiento'!#REF!),ISBLANK(AE331),ISTEXT(AE331))</xm:f>
          </x14:formula1>
          <xm:sqref>AF331:AF360</xm:sqref>
        </x14:dataValidation>
        <x14:dataValidation type="custom" allowBlank="1" showInputMessage="1" showErrorMessage="1" error="Recuerde que las acciones se generan bajo la medida de mitigar el riesgo">
          <x14:formula1>
            <xm:f>IF(OR(AF331='[19]Opciones Tratamiento'!#REF!,AF331='[19]Opciones Tratamiento'!#REF!,AF331='[19]Opciones Tratamiento'!#REF!),ISBLANK(AF331),ISTEXT(AF331))</xm:f>
          </x14:formula1>
          <xm:sqref>AH331:AI360</xm:sqref>
        </x14:dataValidation>
        <x14:dataValidation type="list" allowBlank="1" showInputMessage="1" showErrorMessage="1">
          <x14:formula1>
            <xm:f>'[19]Opciones Tratamiento'!#REF!</xm:f>
          </x14:formula1>
          <xm:sqref>B331:B337 B343:B360 G331:G360 AE331:AE360 C331:C360</xm:sqref>
        </x14:dataValidation>
        <x14:dataValidation type="custom" allowBlank="1" showInputMessage="1" showErrorMessage="1" error="Recuerde que las acciones se generan bajo la medida de mitigar el riesgo">
          <x14:formula1>
            <xm:f>IF(OR(AE331='[19]Opciones Tratamiento'!#REF!,AE331='[19]Opciones Tratamiento'!#REF!,AE331='[19]Opciones Tratamiento'!#REF!),ISBLANK(AE331),ISTEXT(AE331))</xm:f>
          </x14:formula1>
          <xm:sqref>AL331:AL360</xm:sqref>
        </x14:dataValidation>
        <x14:dataValidation type="custom" allowBlank="1" showInputMessage="1" showErrorMessage="1" error="Recuerde que las acciones se generan bajo la medida de mitigar el riesgo">
          <x14:formula1>
            <xm:f>IF(OR(AG331='[19]Opciones Tratamiento'!#REF!,AG331='[19]Opciones Tratamiento'!#REF!,AG331='[19]Opciones Tratamiento'!#REF!),ISBLANK(AG331),ISTEXT(AG331))</xm:f>
          </x14:formula1>
          <xm:sqref>AJ331:AJ360</xm:sqref>
        </x14:dataValidation>
        <x14:dataValidation type="custom" allowBlank="1" showInputMessage="1" showErrorMessage="1" error="Recuerde que las acciones se generan bajo la medida de mitigar el riesgo">
          <x14:formula1>
            <xm:f>IF(OR(AE331='[19]Opciones Tratamiento'!#REF!,AE331='[19]Opciones Tratamiento'!#REF!,AE331='[19]Opciones Tratamiento'!#REF!),ISBLANK(AE331),ISTEXT(AE331))</xm:f>
          </x14:formula1>
          <xm:sqref>AK331:AK360</xm:sqref>
        </x14:dataValidation>
        <x14:dataValidation type="list" allowBlank="1" showInputMessage="1" showErrorMessage="1">
          <x14:formula1>
            <xm:f>'[19]Tabla Impacto'!#REF!</xm:f>
          </x14:formula1>
          <xm:sqref>K331:K360</xm:sqref>
        </x14:dataValidation>
        <x14:dataValidation type="list" allowBlank="1" showInputMessage="1" showErrorMessage="1">
          <x14:formula1>
            <xm:f>'[19]Tabla Valoración controles'!#REF!</xm:f>
          </x14:formula1>
          <xm:sqref>S331:T360 V331:X360</xm:sqref>
        </x14:dataValidation>
        <x14:dataValidation type="custom" errorStyle="information" allowBlank="1" showInputMessage="1" showErrorMessage="1" error="Recuerde que las acciones se generan bajo la medida de Compartir o Reducir el riesgo_x000a_">
          <x14:formula1>
            <xm:f>IF(OR(AE361='[20]Opciones Tratamiento'!#REF!,AE361='[20]Opciones Tratamiento'!#REF!),ISBLANK(AE361),ISTEXT(AE361))</xm:f>
          </x14:formula1>
          <xm:sqref>AF361:AF372</xm:sqref>
        </x14:dataValidation>
        <x14:dataValidation type="custom" allowBlank="1" showInputMessage="1" showErrorMessage="1" error="Recuerde que las acciones se generan bajo la medida de mitigar el riesgo">
          <x14:formula1>
            <xm:f>IF(OR(AF361='[20]Opciones Tratamiento'!#REF!,AF361='[20]Opciones Tratamiento'!#REF!,AF361='[20]Opciones Tratamiento'!#REF!),ISBLANK(AF361),ISTEXT(AF361))</xm:f>
          </x14:formula1>
          <xm:sqref>AH361:AI372</xm:sqref>
        </x14:dataValidation>
        <x14:dataValidation type="list" allowBlank="1" showInputMessage="1" showErrorMessage="1">
          <x14:formula1>
            <xm:f>'[20]Opciones Tratamiento'!#REF!</xm:f>
          </x14:formula1>
          <xm:sqref>G361:G372 AE361:AE372 B361:B367 C361:C372</xm:sqref>
        </x14:dataValidation>
        <x14:dataValidation type="custom" allowBlank="1" showInputMessage="1" showErrorMessage="1" error="Recuerde que las acciones se generan bajo la medida de mitigar el riesgo">
          <x14:formula1>
            <xm:f>IF(OR(AE361='[20]Opciones Tratamiento'!#REF!,AE361='[20]Opciones Tratamiento'!#REF!,AE361='[20]Opciones Tratamiento'!#REF!),ISBLANK(AE361),ISTEXT(AE361))</xm:f>
          </x14:formula1>
          <xm:sqref>AL361:AL372</xm:sqref>
        </x14:dataValidation>
        <x14:dataValidation type="custom" allowBlank="1" showInputMessage="1" showErrorMessage="1" error="Recuerde que las acciones se generan bajo la medida de mitigar el riesgo">
          <x14:formula1>
            <xm:f>IF(OR(AG361='[20]Opciones Tratamiento'!#REF!,AG361='[20]Opciones Tratamiento'!#REF!,AG361='[20]Opciones Tratamiento'!#REF!),ISBLANK(AG361),ISTEXT(AG361))</xm:f>
          </x14:formula1>
          <xm:sqref>AJ361:AJ372</xm:sqref>
        </x14:dataValidation>
        <x14:dataValidation type="custom" allowBlank="1" showInputMessage="1" showErrorMessage="1" error="Recuerde que las acciones se generan bajo la medida de mitigar el riesgo">
          <x14:formula1>
            <xm:f>IF(OR(AE361='[20]Opciones Tratamiento'!#REF!,AE361='[20]Opciones Tratamiento'!#REF!,AE361='[20]Opciones Tratamiento'!#REF!),ISBLANK(AE361),ISTEXT(AE361))</xm:f>
          </x14:formula1>
          <xm:sqref>AK361:AK372</xm:sqref>
        </x14:dataValidation>
        <x14:dataValidation type="list" allowBlank="1" showInputMessage="1" showErrorMessage="1">
          <x14:formula1>
            <xm:f>'[20]Tabla Impacto'!#REF!</xm:f>
          </x14:formula1>
          <xm:sqref>K361:K372</xm:sqref>
        </x14:dataValidation>
        <x14:dataValidation type="list" allowBlank="1" showInputMessage="1" showErrorMessage="1">
          <x14:formula1>
            <xm:f>'[20]Tabla Valoración controles'!#REF!</xm:f>
          </x14:formula1>
          <xm:sqref>S361:T372 V361:X372</xm:sqref>
        </x14:dataValidation>
        <x14:dataValidation type="custom" allowBlank="1" showInputMessage="1" showErrorMessage="1" error="Recuerde que las acciones se generan bajo la medida de mitigar el riesgo">
          <x14:formula1>
            <xm:f>IF(OR(AE373='[21]Opciones Tratamiento'!#REF!,AE373='[21]Opciones Tratamiento'!#REF!,AE373='[21]Opciones Tratamiento'!#REF!),ISBLANK(AE373),ISTEXT(AE373))</xm:f>
          </x14:formula1>
          <xm:sqref>AG373:AI390</xm:sqref>
        </x14:dataValidation>
        <x14:dataValidation type="list" allowBlank="1" showInputMessage="1" showErrorMessage="1">
          <x14:formula1>
            <xm:f>'[21]Opciones Tratamiento'!#REF!</xm:f>
          </x14:formula1>
          <xm:sqref>G373:G390 AE373:AE390 B373:B379 B385:B390 C373:C390</xm:sqref>
        </x14:dataValidation>
        <x14:dataValidation type="custom" allowBlank="1" showInputMessage="1" showErrorMessage="1" error="Recuerde que las acciones se generan bajo la medida de mitigar el riesgo">
          <x14:formula1>
            <xm:f>IF(OR(AE373='[21]Opciones Tratamiento'!#REF!,AE373='[21]Opciones Tratamiento'!#REF!,AE373='[21]Opciones Tratamiento'!#REF!),ISBLANK(AE373),ISTEXT(AE373))</xm:f>
          </x14:formula1>
          <xm:sqref>AL373:AL390</xm:sqref>
        </x14:dataValidation>
        <x14:dataValidation type="custom" allowBlank="1" showInputMessage="1" showErrorMessage="1" error="Recuerde que las acciones se generan bajo la medida de mitigar el riesgo">
          <x14:formula1>
            <xm:f>IF(OR(AG373='[21]Opciones Tratamiento'!#REF!,AG373='[21]Opciones Tratamiento'!#REF!,AG373='[21]Opciones Tratamiento'!#REF!),ISBLANK(AG373),ISTEXT(AG373))</xm:f>
          </x14:formula1>
          <xm:sqref>AJ373:AJ390</xm:sqref>
        </x14:dataValidation>
        <x14:dataValidation type="custom" allowBlank="1" showInputMessage="1" showErrorMessage="1" error="Recuerde que las acciones se generan bajo la medida de mitigar el riesgo">
          <x14:formula1>
            <xm:f>IF(OR(AE373='[21]Opciones Tratamiento'!#REF!,AE373='[21]Opciones Tratamiento'!#REF!,AE373='[21]Opciones Tratamiento'!#REF!),ISBLANK(AE373),ISTEXT(AE373))</xm:f>
          </x14:formula1>
          <xm:sqref>AK373:AK390</xm:sqref>
        </x14:dataValidation>
        <x14:dataValidation type="list" allowBlank="1" showInputMessage="1" showErrorMessage="1">
          <x14:formula1>
            <xm:f>'[21]Tabla Impacto'!#REF!</xm:f>
          </x14:formula1>
          <xm:sqref>K373:K390</xm:sqref>
        </x14:dataValidation>
        <x14:dataValidation type="list" allowBlank="1" showInputMessage="1" showErrorMessage="1">
          <x14:formula1>
            <xm:f>'[21]Tabla Valoración controles'!#REF!</xm:f>
          </x14:formula1>
          <xm:sqref>S373:T390 V373:X390</xm:sqref>
        </x14:dataValidation>
        <x14:dataValidation type="custom" allowBlank="1" showInputMessage="1" showErrorMessage="1" error="Recuerde que las acciones se generan bajo la medida de mitigar el riesgo">
          <x14:formula1>
            <xm:f>IF(OR(AE391='[7]Opciones Tratamiento'!#REF!,AE391='[7]Opciones Tratamiento'!#REF!,AE391='[7]Opciones Tratamiento'!#REF!),ISBLANK(AE391),ISTEXT(AE391))</xm:f>
          </x14:formula1>
          <xm:sqref>AG391:AI396</xm:sqref>
        </x14:dataValidation>
        <x14:dataValidation type="list" allowBlank="1" showInputMessage="1" showErrorMessage="1">
          <x14:formula1>
            <xm:f>'[7]Opciones Tratamiento'!#REF!</xm:f>
          </x14:formula1>
          <xm:sqref>G391:G396 AE391:AE396 B391:C396</xm:sqref>
        </x14:dataValidation>
        <x14:dataValidation type="custom" allowBlank="1" showInputMessage="1" showErrorMessage="1" error="Recuerde que las acciones se generan bajo la medida de mitigar el riesgo">
          <x14:formula1>
            <xm:f>IF(OR(AE391='[7]Opciones Tratamiento'!#REF!,AE391='[7]Opciones Tratamiento'!#REF!,AE391='[7]Opciones Tratamiento'!#REF!),ISBLANK(AE391),ISTEXT(AE391))</xm:f>
          </x14:formula1>
          <xm:sqref>AL391:AL396</xm:sqref>
        </x14:dataValidation>
        <x14:dataValidation type="custom" allowBlank="1" showInputMessage="1" showErrorMessage="1" error="Recuerde que las acciones se generan bajo la medida de mitigar el riesgo">
          <x14:formula1>
            <xm:f>IF(OR(AG391='[7]Opciones Tratamiento'!#REF!,AG391='[7]Opciones Tratamiento'!#REF!,AG391='[7]Opciones Tratamiento'!#REF!),ISBLANK(AG391),ISTEXT(AG391))</xm:f>
          </x14:formula1>
          <xm:sqref>AJ391:AJ396</xm:sqref>
        </x14:dataValidation>
        <x14:dataValidation type="custom" allowBlank="1" showInputMessage="1" showErrorMessage="1" error="Recuerde que las acciones se generan bajo la medida de mitigar el riesgo">
          <x14:formula1>
            <xm:f>IF(OR(AE391='[7]Opciones Tratamiento'!#REF!,AE391='[7]Opciones Tratamiento'!#REF!,AE391='[7]Opciones Tratamiento'!#REF!),ISBLANK(AE391),ISTEXT(AE391))</xm:f>
          </x14:formula1>
          <xm:sqref>AK391:AK396</xm:sqref>
        </x14:dataValidation>
        <x14:dataValidation type="list" allowBlank="1" showInputMessage="1" showErrorMessage="1">
          <x14:formula1>
            <xm:f>'[7]Tabla Impacto'!#REF!</xm:f>
          </x14:formula1>
          <xm:sqref>K391:K396</xm:sqref>
        </x14:dataValidation>
        <x14:dataValidation type="list" allowBlank="1" showInputMessage="1" showErrorMessage="1">
          <x14:formula1>
            <xm:f>'[7]Tabla Valoración controles'!#REF!</xm:f>
          </x14:formula1>
          <xm:sqref>S391:T396 V391:X396</xm:sqref>
        </x14:dataValidation>
        <x14:dataValidation type="custom" errorStyle="information" allowBlank="1" showInputMessage="1" showErrorMessage="1" error="Recuerde que las acciones se generan bajo la medida de Compartir o Reducir el riesgo_x000a_">
          <x14:formula1>
            <xm:f>IF(OR(AE397='[22]Opciones Tratamiento'!#REF!,AE397='[22]Opciones Tratamiento'!#REF!),ISBLANK(AE397),ISTEXT(AE397))</xm:f>
          </x14:formula1>
          <xm:sqref>AF397:AF432</xm:sqref>
        </x14:dataValidation>
        <x14:dataValidation type="custom" allowBlank="1" showInputMessage="1" showErrorMessage="1" error="Recuerde que las acciones se generan bajo la medida de mitigar el riesgo">
          <x14:formula1>
            <xm:f>IF(OR(AF397='[22]Opciones Tratamiento'!#REF!,AF397='[22]Opciones Tratamiento'!#REF!,AF397='[22]Opciones Tratamiento'!#REF!),ISBLANK(AF397),ISTEXT(AF397))</xm:f>
          </x14:formula1>
          <xm:sqref>AH397:AI432</xm:sqref>
        </x14:dataValidation>
        <x14:dataValidation type="list" allowBlank="1" showInputMessage="1" showErrorMessage="1">
          <x14:formula1>
            <xm:f>'[22]Opciones Tratamiento'!#REF!</xm:f>
          </x14:formula1>
          <xm:sqref>G397:G432 AE397:AE432 B397:B403 B409:B432 C397:C432</xm:sqref>
        </x14:dataValidation>
        <x14:dataValidation type="custom" allowBlank="1" showInputMessage="1" showErrorMessage="1" error="Recuerde que las acciones se generan bajo la medida de mitigar el riesgo">
          <x14:formula1>
            <xm:f>IF(OR(AE397='[22]Opciones Tratamiento'!#REF!,AE397='[22]Opciones Tratamiento'!#REF!,AE397='[22]Opciones Tratamiento'!#REF!),ISBLANK(AE397),ISTEXT(AE397))</xm:f>
          </x14:formula1>
          <xm:sqref>AL397:AL432</xm:sqref>
        </x14:dataValidation>
        <x14:dataValidation type="custom" allowBlank="1" showInputMessage="1" showErrorMessage="1" error="Recuerde que las acciones se generan bajo la medida de mitigar el riesgo">
          <x14:formula1>
            <xm:f>IF(OR(AG397='[22]Opciones Tratamiento'!#REF!,AG397='[22]Opciones Tratamiento'!#REF!,AG397='[22]Opciones Tratamiento'!#REF!),ISBLANK(AG397),ISTEXT(AG397))</xm:f>
          </x14:formula1>
          <xm:sqref>AJ397:AJ432</xm:sqref>
        </x14:dataValidation>
        <x14:dataValidation type="custom" allowBlank="1" showInputMessage="1" showErrorMessage="1" error="Recuerde que las acciones se generan bajo la medida de mitigar el riesgo">
          <x14:formula1>
            <xm:f>IF(OR(AE397='[22]Opciones Tratamiento'!#REF!,AE397='[22]Opciones Tratamiento'!#REF!,AE397='[22]Opciones Tratamiento'!#REF!),ISBLANK(AE397),ISTEXT(AE397))</xm:f>
          </x14:formula1>
          <xm:sqref>AK397:AK432</xm:sqref>
        </x14:dataValidation>
        <x14:dataValidation type="list" allowBlank="1" showInputMessage="1" showErrorMessage="1">
          <x14:formula1>
            <xm:f>'[22]Tabla Impacto'!#REF!</xm:f>
          </x14:formula1>
          <xm:sqref>K397:K432</xm:sqref>
        </x14:dataValidation>
        <x14:dataValidation type="list" allowBlank="1" showInputMessage="1" showErrorMessage="1">
          <x14:formula1>
            <xm:f>'[22]Tabla Valoración controles'!#REF!</xm:f>
          </x14:formula1>
          <xm:sqref>S397:T432 V397:X432</xm:sqref>
        </x14:dataValidation>
        <x14:dataValidation type="custom" errorStyle="information" allowBlank="1" showInputMessage="1" showErrorMessage="1" error="Recuerde que las acciones se generan bajo la medida de Compartir o Reducir el riesgo_x000a_">
          <x14:formula1>
            <xm:f>IF(OR(AE433='[23]Opciones Tratamiento'!#REF!,AE433='[23]Opciones Tratamiento'!#REF!),ISBLANK(AE433),ISTEXT(AE433))</xm:f>
          </x14:formula1>
          <xm:sqref>AF433:AF438</xm:sqref>
        </x14:dataValidation>
        <x14:dataValidation type="custom" allowBlank="1" showInputMessage="1" showErrorMessage="1" error="Recuerde que las acciones se generan bajo la medida de mitigar el riesgo">
          <x14:formula1>
            <xm:f>IF(OR(AF433='[23]Opciones Tratamiento'!#REF!,AF433='[23]Opciones Tratamiento'!#REF!,AF433='[23]Opciones Tratamiento'!#REF!),ISBLANK(AF433),ISTEXT(AF433))</xm:f>
          </x14:formula1>
          <xm:sqref>AH433:AI438</xm:sqref>
        </x14:dataValidation>
        <x14:dataValidation type="list" allowBlank="1" showInputMessage="1" showErrorMessage="1">
          <x14:formula1>
            <xm:f>'[23]Opciones Tratamiento'!#REF!</xm:f>
          </x14:formula1>
          <xm:sqref>G433:G438 AE433:AE438 B433:C438</xm:sqref>
        </x14:dataValidation>
        <x14:dataValidation type="custom" allowBlank="1" showInputMessage="1" showErrorMessage="1" error="Recuerde que las acciones se generan bajo la medida de mitigar el riesgo">
          <x14:formula1>
            <xm:f>IF(OR(AE433='[23]Opciones Tratamiento'!#REF!,AE433='[23]Opciones Tratamiento'!#REF!,AE433='[23]Opciones Tratamiento'!#REF!),ISBLANK(AE433),ISTEXT(AE433))</xm:f>
          </x14:formula1>
          <xm:sqref>AL433:AL438</xm:sqref>
        </x14:dataValidation>
        <x14:dataValidation type="custom" allowBlank="1" showInputMessage="1" showErrorMessage="1" error="Recuerde que las acciones se generan bajo la medida de mitigar el riesgo">
          <x14:formula1>
            <xm:f>IF(OR(AG433='[23]Opciones Tratamiento'!#REF!,AG433='[23]Opciones Tratamiento'!#REF!,AG433='[23]Opciones Tratamiento'!#REF!),ISBLANK(AG433),ISTEXT(AG433))</xm:f>
          </x14:formula1>
          <xm:sqref>AJ433:AJ438</xm:sqref>
        </x14:dataValidation>
        <x14:dataValidation type="custom" allowBlank="1" showInputMessage="1" showErrorMessage="1" error="Recuerde que las acciones se generan bajo la medida de mitigar el riesgo">
          <x14:formula1>
            <xm:f>IF(OR(AE433='[23]Opciones Tratamiento'!#REF!,AE433='[23]Opciones Tratamiento'!#REF!,AE433='[23]Opciones Tratamiento'!#REF!),ISBLANK(AE433),ISTEXT(AE433))</xm:f>
          </x14:formula1>
          <xm:sqref>AK433:AK438</xm:sqref>
        </x14:dataValidation>
        <x14:dataValidation type="list" allowBlank="1" showInputMessage="1" showErrorMessage="1">
          <x14:formula1>
            <xm:f>'[23]Tabla Impacto'!#REF!</xm:f>
          </x14:formula1>
          <xm:sqref>K433:K438</xm:sqref>
        </x14:dataValidation>
        <x14:dataValidation type="list" allowBlank="1" showInputMessage="1" showErrorMessage="1">
          <x14:formula1>
            <xm:f>'[23]Tabla Valoración controles'!#REF!</xm:f>
          </x14:formula1>
          <xm:sqref>S433:T438 V433:X438</xm:sqref>
        </x14:dataValidation>
        <x14:dataValidation type="custom" allowBlank="1" showInputMessage="1" showErrorMessage="1" prompt="Recuerde que las acciones se generan bajo la medida de mitigar el riesgo">
          <x14:formula1>
            <xm:f>IF(OR(AE451='[8]Opciones Tratamiento'!#REF!,AE451='[8]Opciones Tratamiento'!#REF!,AE451='[8]Opciones Tratamiento'!#REF!),ISBLANK(AE451),ISTEXT(AE451))</xm:f>
          </x14:formula1>
          <xm:sqref>AK451:AK462</xm:sqref>
        </x14:dataValidation>
        <x14:dataValidation type="list" allowBlank="1" showErrorMessage="1">
          <x14:formula1>
            <xm:f>'[8]Opciones Tratamiento'!#REF!</xm:f>
          </x14:formula1>
          <xm:sqref>AE451:AE462</xm:sqref>
        </x14:dataValidation>
        <x14:dataValidation type="list" allowBlank="1" showErrorMessage="1">
          <x14:formula1>
            <xm:f>[8]Hoja1!#REF!</xm:f>
          </x14:formula1>
          <xm:sqref>B451:C451 G451 G457 B457:C457</xm:sqref>
        </x14:dataValidation>
        <x14:dataValidation type="custom" allowBlank="1" showInputMessage="1" showErrorMessage="1" prompt="Recuerde que las acciones se generan bajo la medida de mitigar el riesgo">
          <x14:formula1>
            <xm:f>IF(OR(AG451='[8]Opciones Tratamiento'!#REF!,AG451='[8]Opciones Tratamiento'!#REF!,AG451='[8]Opciones Tratamiento'!#REF!),ISBLANK(AG451),ISTEXT(AG451))</xm:f>
          </x14:formula1>
          <xm:sqref>AJ451:AJ462</xm:sqref>
        </x14:dataValidation>
        <x14:dataValidation type="list" allowBlank="1" showErrorMessage="1">
          <x14:formula1>
            <xm:f>'[8]Tabla Valoración controles'!#REF!</xm:f>
          </x14:formula1>
          <xm:sqref>V451:X462 K451 K457 S451:T462</xm:sqref>
        </x14:dataValidation>
        <x14:dataValidation type="custom" allowBlank="1" showInputMessage="1" showErrorMessage="1" prompt="Recuerde que las acciones se generan bajo la medida de mitigar el riesgo">
          <x14:formula1>
            <xm:f>IF(OR(AE451='[8]Opciones Tratamiento'!#REF!,AE451='[8]Opciones Tratamiento'!#REF!,AE451='[8]Opciones Tratamiento'!#REF!),ISBLANK(AE451),ISTEXT(AE451))</xm:f>
          </x14:formula1>
          <xm:sqref>AL451:AL462</xm:sqref>
        </x14:dataValidation>
        <x14:dataValidation type="custom" allowBlank="1" showInputMessage="1" showErrorMessage="1" prompt="Recuerde que las acciones se generan bajo la medida de mitigar el riesgo">
          <x14:formula1>
            <xm:f>IF(OR(AF451='[8]Opciones Tratamiento'!#REF!,AF451='[8]Opciones Tratamiento'!#REF!,AF451='[8]Opciones Tratamiento'!#REF!),ISBLANK(AF451),ISTEXT(AF451))</xm:f>
          </x14:formula1>
          <xm:sqref>AH451:AI462</xm:sqref>
        </x14:dataValidation>
        <x14:dataValidation type="custom" allowBlank="1" showInputMessage="1" prompt="Recuerde que las acciones se generan bajo la medida de Compartir o Reducir el riesgo_x000a_">
          <x14:formula1>
            <xm:f>IF(OR(AE451='[8]Opciones Tratamiento'!#REF!,AE451='[8]Opciones Tratamiento'!#REF!),ISBLANK(AE451),ISTEXT(AE451))</xm:f>
          </x14:formula1>
          <xm:sqref>AF451 AF454:AF462</xm:sqref>
        </x14:dataValidation>
        <x14:dataValidation type="list" allowBlank="1" showInputMessage="1" showErrorMessage="1">
          <x14:formula1>
            <xm:f>'[24]Opciones Tratamiento'!#REF!</xm:f>
          </x14:formula1>
          <xm:sqref>B463:C468 G463:G468 AE463:AE468</xm:sqref>
        </x14:dataValidation>
        <x14:dataValidation type="list" allowBlank="1" showInputMessage="1" showErrorMessage="1">
          <x14:formula1>
            <xm:f>'[24]Tabla Impacto'!#REF!</xm:f>
          </x14:formula1>
          <xm:sqref>K463:K468</xm:sqref>
        </x14:dataValidation>
        <x14:dataValidation type="list" allowBlank="1" showInputMessage="1" showErrorMessage="1">
          <x14:formula1>
            <xm:f>'[24]Tabla Valoración controles'!#REF!</xm:f>
          </x14:formula1>
          <xm:sqref>S463:T468 V463:X468</xm:sqref>
        </x14:dataValidation>
        <x14:dataValidation type="custom" errorStyle="information" allowBlank="1" showInputMessage="1" showErrorMessage="1" error="Recuerde que las acciones se generan bajo la medida de Compartir o Reducir el riesgo_x000a_">
          <x14:formula1>
            <xm:f>IF(OR(AE463='[24]Opciones Tratamiento'!#REF!,AE463='[24]Opciones Tratamiento'!#REF!),ISBLANK(AE463),ISTEXT(AE463))</xm:f>
          </x14:formula1>
          <xm:sqref>AF463:AF468</xm:sqref>
        </x14:dataValidation>
        <x14:dataValidation type="custom" allowBlank="1" showInputMessage="1" showErrorMessage="1" error="Recuerde que las acciones se generan bajo la medida de mitigar el riesgo">
          <x14:formula1>
            <xm:f>IF(OR(AF463='[24]Opciones Tratamiento'!#REF!,AF463='[24]Opciones Tratamiento'!#REF!,AF463='[24]Opciones Tratamiento'!#REF!),ISBLANK(AF463),ISTEXT(AF463))</xm:f>
          </x14:formula1>
          <xm:sqref>AH463:AI468</xm:sqref>
        </x14:dataValidation>
        <x14:dataValidation type="custom" allowBlank="1" showInputMessage="1" showErrorMessage="1" error="Recuerde que las acciones se generan bajo la medida de mitigar el riesgo">
          <x14:formula1>
            <xm:f>IF(OR(AE463='[24]Opciones Tratamiento'!#REF!,AE463='[24]Opciones Tratamiento'!#REF!,AE463='[24]Opciones Tratamiento'!#REF!),ISBLANK(AE463),ISTEXT(AE463))</xm:f>
          </x14:formula1>
          <xm:sqref>AL463:AL468</xm:sqref>
        </x14:dataValidation>
        <x14:dataValidation type="custom" allowBlank="1" showInputMessage="1" showErrorMessage="1" error="Recuerde que las acciones se generan bajo la medida de mitigar el riesgo">
          <x14:formula1>
            <xm:f>IF(OR(AG463='[24]Opciones Tratamiento'!#REF!,AG463='[24]Opciones Tratamiento'!#REF!,AG463='[24]Opciones Tratamiento'!#REF!),ISBLANK(AG463),ISTEXT(AG463))</xm:f>
          </x14:formula1>
          <xm:sqref>AJ463:AJ468</xm:sqref>
        </x14:dataValidation>
        <x14:dataValidation type="custom" allowBlank="1" showInputMessage="1" showErrorMessage="1" error="Recuerde que las acciones se generan bajo la medida de mitigar el riesgo">
          <x14:formula1>
            <xm:f>IF(OR(AE463='[24]Opciones Tratamiento'!#REF!,AE463='[24]Opciones Tratamiento'!#REF!,AE463='[24]Opciones Tratamiento'!#REF!),ISBLANK(AE463),ISTEXT(AE463))</xm:f>
          </x14:formula1>
          <xm:sqref>AK463:AK468</xm:sqref>
        </x14:dataValidation>
        <x14:dataValidation type="list" allowBlank="1" showInputMessage="1" showErrorMessage="1">
          <x14:formula1>
            <xm:f>'[9]Opciones Tratamiento'!#REF!</xm:f>
          </x14:formula1>
          <xm:sqref>C469:C482 B469:B476 G469:G482 AE469:AE482</xm:sqref>
        </x14:dataValidation>
        <x14:dataValidation type="list" allowBlank="1" showInputMessage="1" showErrorMessage="1">
          <x14:formula1>
            <xm:f>'[9]Tabla Impacto'!#REF!</xm:f>
          </x14:formula1>
          <xm:sqref>K469:K482</xm:sqref>
        </x14:dataValidation>
        <x14:dataValidation type="list" allowBlank="1" showInputMessage="1" showErrorMessage="1">
          <x14:formula1>
            <xm:f>'[9]Tabla Valoración controles'!#REF!</xm:f>
          </x14:formula1>
          <xm:sqref>S469:T482 V469:X482</xm:sqref>
        </x14:dataValidation>
        <x14:dataValidation type="custom" errorStyle="information" allowBlank="1" showInputMessage="1" showErrorMessage="1" error="Recuerde que las acciones se generan bajo la medida de Compartir o Reducir el riesgo_x000a_">
          <x14:formula1>
            <xm:f>IF(OR(AE480='[9]Opciones Tratamiento'!#REF!,AE480='[9]Opciones Tratamiento'!#REF!),ISBLANK(AE480),ISTEXT(AE480))</xm:f>
          </x14:formula1>
          <xm:sqref>AF479</xm:sqref>
        </x14:dataValidation>
        <x14:dataValidation type="custom" errorStyle="information" allowBlank="1" showInputMessage="1" showErrorMessage="1" error="Recuerde que las acciones se generan bajo la medida de Compartir o Reducir el riesgo_x000a_">
          <x14:formula1>
            <xm:f>IF(OR(AE469='[9]Opciones Tratamiento'!#REF!,AE469='[9]Opciones Tratamiento'!#REF!),ISBLANK(AE469),ISTEXT(AE469))</xm:f>
          </x14:formula1>
          <xm:sqref>AF469:AF478 AF481:AF482</xm:sqref>
        </x14:dataValidation>
        <x14:dataValidation type="custom" allowBlank="1" showInputMessage="1" showErrorMessage="1" error="Recuerde que las acciones se generan bajo la medida de mitigar el riesgo">
          <x14:formula1>
            <xm:f>IF(OR(AF469='[9]Opciones Tratamiento'!#REF!,AF469='[9]Opciones Tratamiento'!#REF!,AF469='[9]Opciones Tratamiento'!#REF!),ISBLANK(AF469),ISTEXT(AF469))</xm:f>
          </x14:formula1>
          <xm:sqref>AH469:AI479 AH481:AI482</xm:sqref>
        </x14:dataValidation>
        <x14:dataValidation type="custom" allowBlank="1" showInputMessage="1" showErrorMessage="1" error="Recuerde que las acciones se generan bajo la medida de mitigar el riesgo">
          <x14:formula1>
            <xm:f>IF(OR(AE480='[9]Opciones Tratamiento'!#REF!,AE480='[9]Opciones Tratamiento'!#REF!,AE480='[9]Opciones Tratamiento'!#REF!),ISBLANK(AE480),ISTEXT(AE480))</xm:f>
          </x14:formula1>
          <xm:sqref>AL479</xm:sqref>
        </x14:dataValidation>
        <x14:dataValidation type="custom" allowBlank="1" showInputMessage="1" showErrorMessage="1" error="Recuerde que las acciones se generan bajo la medida de mitigar el riesgo">
          <x14:formula1>
            <xm:f>IF(OR(AE469='[9]Opciones Tratamiento'!#REF!,AE469='[9]Opciones Tratamiento'!#REF!,AE469='[9]Opciones Tratamiento'!#REF!),ISBLANK(AE469),ISTEXT(AE469))</xm:f>
          </x14:formula1>
          <xm:sqref>AL469:AL478 AL481:AL482</xm:sqref>
        </x14:dataValidation>
        <x14:dataValidation type="custom" allowBlank="1" showInputMessage="1" showErrorMessage="1" error="Recuerde que las acciones se generan bajo la medida de mitigar el riesgo">
          <x14:formula1>
            <xm:f>IF(OR(AG469='[9]Opciones Tratamiento'!#REF!,AG469='[9]Opciones Tratamiento'!#REF!,AG469='[9]Opciones Tratamiento'!#REF!),ISBLANK(AG469),ISTEXT(AG469))</xm:f>
          </x14:formula1>
          <xm:sqref>AJ469:AJ479 AJ481:AJ482</xm:sqref>
        </x14:dataValidation>
        <x14:dataValidation type="custom" allowBlank="1" showInputMessage="1" showErrorMessage="1" error="Recuerde que las acciones se generan bajo la medida de mitigar el riesgo">
          <x14:formula1>
            <xm:f>IF(OR(AE480='[9]Opciones Tratamiento'!#REF!,AE480='[9]Opciones Tratamiento'!#REF!,AE480='[9]Opciones Tratamiento'!#REF!),ISBLANK(AE480),ISTEXT(AE480))</xm:f>
          </x14:formula1>
          <xm:sqref>AK479</xm:sqref>
        </x14:dataValidation>
        <x14:dataValidation type="custom" allowBlank="1" showInputMessage="1" showErrorMessage="1" error="Recuerde que las acciones se generan bajo la medida de mitigar el riesgo">
          <x14:formula1>
            <xm:f>IF(OR(AE469='[9]Opciones Tratamiento'!#REF!,AE469='[9]Opciones Tratamiento'!#REF!,AE469='[9]Opciones Tratamiento'!#REF!),ISBLANK(AE469),ISTEXT(AE469))</xm:f>
          </x14:formula1>
          <xm:sqref>AK469:AK478 AK481:AK482</xm:sqref>
        </x14:dataValidation>
        <x14:dataValidation type="custom" allowBlank="1" showInputMessage="1" showErrorMessage="1" error="Recuerde que las acciones se generan bajo la medida de mitigar el riesgo">
          <x14:formula1>
            <xm:f>IF(OR(AG439='[25]Opciones Tratamiento'!#REF!,AG439='[25]Opciones Tratamiento'!#REF!,AG439='[25]Opciones Tratamiento'!#REF!),ISBLANK(AG439),ISTEXT(AG439))</xm:f>
          </x14:formula1>
          <xm:sqref>AK439</xm:sqref>
        </x14:dataValidation>
        <x14:dataValidation type="custom" allowBlank="1" showInputMessage="1" showErrorMessage="1" error="Recuerde que las acciones se generan bajo la medida de mitigar el riesgo">
          <x14:formula1>
            <xm:f>IF(OR(AG440='[25]Opciones Tratamiento'!#REF!,AG440='[25]Opciones Tratamiento'!#REF!,AG440='[25]Opciones Tratamiento'!#REF!),ISBLANK(AG440),ISTEXT(AG440))</xm:f>
          </x14:formula1>
          <xm:sqref>AJ440:AJ450</xm:sqref>
        </x14:dataValidation>
        <x14:dataValidation type="custom" errorStyle="information" allowBlank="1" showInputMessage="1" showErrorMessage="1" error="Recuerde que las acciones se generan bajo la medida de Compartir o Reducir el riesgo_x000a_">
          <x14:formula1>
            <xm:f>IF(OR(AE439='[25]Opciones Tratamiento'!#REF!,AE439='[25]Opciones Tratamiento'!#REF!),ISBLANK(AE439),ISTEXT(AE439))</xm:f>
          </x14:formula1>
          <xm:sqref>AF439:AF450</xm:sqref>
        </x14:dataValidation>
        <x14:dataValidation type="custom" allowBlank="1" showInputMessage="1" showErrorMessage="1" error="Recuerde que las acciones se generan bajo la medida de mitigar el riesgo">
          <x14:formula1>
            <xm:f>IF(OR(AF439='[25]Opciones Tratamiento'!#REF!,AF439='[25]Opciones Tratamiento'!#REF!,AF439='[25]Opciones Tratamiento'!#REF!),ISBLANK(AF439),ISTEXT(AF439))</xm:f>
          </x14:formula1>
          <xm:sqref>AH439:AI450</xm:sqref>
        </x14:dataValidation>
        <x14:dataValidation type="list" allowBlank="1" showInputMessage="1" showErrorMessage="1">
          <x14:formula1>
            <xm:f>'[25]Opciones Tratamiento'!#REF!</xm:f>
          </x14:formula1>
          <xm:sqref>G439:G450 AE439:AE450 B439:B445 C439:C450</xm:sqref>
        </x14:dataValidation>
        <x14:dataValidation type="custom" allowBlank="1" showInputMessage="1" showErrorMessage="1" error="Recuerde que las acciones se generan bajo la medida de mitigar el riesgo">
          <x14:formula1>
            <xm:f>IF(OR(AE439='[25]Opciones Tratamiento'!#REF!,AE439='[25]Opciones Tratamiento'!#REF!,AE439='[25]Opciones Tratamiento'!#REF!),ISBLANK(AE439),ISTEXT(AE439))</xm:f>
          </x14:formula1>
          <xm:sqref>AL439:AL450</xm:sqref>
        </x14:dataValidation>
        <x14:dataValidation type="custom" allowBlank="1" showInputMessage="1" showErrorMessage="1" error="Recuerde que las acciones se generan bajo la medida de mitigar el riesgo">
          <x14:formula1>
            <xm:f>IF(OR(AE440='[25]Opciones Tratamiento'!#REF!,AE440='[25]Opciones Tratamiento'!#REF!,AE440='[25]Opciones Tratamiento'!#REF!),ISBLANK(AE440),ISTEXT(AE440))</xm:f>
          </x14:formula1>
          <xm:sqref>AK440:AK450</xm:sqref>
        </x14:dataValidation>
        <x14:dataValidation type="list" allowBlank="1" showInputMessage="1" showErrorMessage="1">
          <x14:formula1>
            <xm:f>'[25]Tabla Impacto'!#REF!</xm:f>
          </x14:formula1>
          <xm:sqref>K439:K450</xm:sqref>
        </x14:dataValidation>
        <x14:dataValidation type="list" allowBlank="1" showInputMessage="1" showErrorMessage="1">
          <x14:formula1>
            <xm:f>'[25]Tabla Valoración controles'!#REF!</xm:f>
          </x14:formula1>
          <xm:sqref>S439:T450 V439:X450</xm:sqref>
        </x14:dataValidation>
        <x14:dataValidation type="custom" errorStyle="information" allowBlank="1" showInputMessage="1" showErrorMessage="1" error="Recuerde que las acciones se generan bajo la medida de Compartir o Reducir el riesgo_x000a_">
          <x14:formula1>
            <xm:f>IF(OR(AE483='[10]Opciones Tratamiento'!#REF!,AE483='[10]Opciones Tratamiento'!#REF!),ISBLANK(AE483),ISTEXT(AE483))</xm:f>
          </x14:formula1>
          <xm:sqref>AF483:AF494</xm:sqref>
        </x14:dataValidation>
        <x14:dataValidation type="custom" allowBlank="1" showInputMessage="1" showErrorMessage="1" error="Recuerde que las acciones se generan bajo la medida de mitigar el riesgo">
          <x14:formula1>
            <xm:f>IF(OR(AF483='[10]Opciones Tratamiento'!#REF!,AF483='[10]Opciones Tratamiento'!#REF!,AF483='[10]Opciones Tratamiento'!#REF!),ISBLANK(AF483),ISTEXT(AF483))</xm:f>
          </x14:formula1>
          <xm:sqref>AH483:AI494</xm:sqref>
        </x14:dataValidation>
        <x14:dataValidation type="list" allowBlank="1" showInputMessage="1" showErrorMessage="1">
          <x14:formula1>
            <xm:f>'[10]Opciones Tratamiento'!#REF!</xm:f>
          </x14:formula1>
          <xm:sqref>C483:C494 B483:B489 G483:G494 AE483:AE494</xm:sqref>
        </x14:dataValidation>
        <x14:dataValidation type="custom" allowBlank="1" showInputMessage="1" showErrorMessage="1" error="Recuerde que las acciones se generan bajo la medida de mitigar el riesgo">
          <x14:formula1>
            <xm:f>IF(OR(AE483='[10]Opciones Tratamiento'!#REF!,AE483='[10]Opciones Tratamiento'!#REF!,AE483='[10]Opciones Tratamiento'!#REF!),ISBLANK(AE483),ISTEXT(AE483))</xm:f>
          </x14:formula1>
          <xm:sqref>AL483:AL494</xm:sqref>
        </x14:dataValidation>
        <x14:dataValidation type="custom" allowBlank="1" showInputMessage="1" showErrorMessage="1" error="Recuerde que las acciones se generan bajo la medida de mitigar el riesgo">
          <x14:formula1>
            <xm:f>IF(OR(AG483='[10]Opciones Tratamiento'!#REF!,AG483='[10]Opciones Tratamiento'!#REF!,AG483='[10]Opciones Tratamiento'!#REF!),ISBLANK(AG483),ISTEXT(AG483))</xm:f>
          </x14:formula1>
          <xm:sqref>AJ483:AJ494</xm:sqref>
        </x14:dataValidation>
        <x14:dataValidation type="custom" allowBlank="1" showInputMessage="1" showErrorMessage="1" error="Recuerde que las acciones se generan bajo la medida de mitigar el riesgo">
          <x14:formula1>
            <xm:f>IF(OR(AE483='[10]Opciones Tratamiento'!#REF!,AE483='[10]Opciones Tratamiento'!#REF!,AE483='[10]Opciones Tratamiento'!#REF!),ISBLANK(AE483),ISTEXT(AE483))</xm:f>
          </x14:formula1>
          <xm:sqref>AK483:AK494</xm:sqref>
        </x14:dataValidation>
        <x14:dataValidation type="list" allowBlank="1" showInputMessage="1" showErrorMessage="1">
          <x14:formula1>
            <xm:f>'[10]Tabla Impacto'!#REF!</xm:f>
          </x14:formula1>
          <xm:sqref>K483:K494</xm:sqref>
        </x14:dataValidation>
        <x14:dataValidation type="list" allowBlank="1" showInputMessage="1" showErrorMessage="1">
          <x14:formula1>
            <xm:f>'[10]Tabla Valoración controles'!#REF!</xm:f>
          </x14:formula1>
          <xm:sqref>S483:T494 V483:X494</xm:sqref>
        </x14:dataValidation>
        <x14:dataValidation type="custom" errorStyle="information" allowBlank="1" showInputMessage="1" showErrorMessage="1" error="Recuerde que las acciones se generan bajo la medida de Compartir o Reducir el riesgo_x000a_">
          <x14:formula1>
            <xm:f>IF(OR(AE495='[11]Opciones Tratamiento'!#REF!,AE495='[11]Opciones Tratamiento'!#REF!),ISBLANK(AE495),ISTEXT(AE495))</xm:f>
          </x14:formula1>
          <xm:sqref>AF495:AF507</xm:sqref>
        </x14:dataValidation>
        <x14:dataValidation type="custom" allowBlank="1" showInputMessage="1" showErrorMessage="1" error="Recuerde que las acciones se generan bajo la medida de mitigar el riesgo">
          <x14:formula1>
            <xm:f>IF(OR(AF495='[11]Opciones Tratamiento'!#REF!,AF495='[11]Opciones Tratamiento'!#REF!,AF495='[11]Opciones Tratamiento'!#REF!),ISBLANK(AF495),ISTEXT(AF495))</xm:f>
          </x14:formula1>
          <xm:sqref>AH495:AI507</xm:sqref>
        </x14:dataValidation>
        <x14:dataValidation type="list" allowBlank="1" showInputMessage="1" showErrorMessage="1">
          <x14:formula1>
            <xm:f>'[11]Opciones Tratamiento'!#REF!</xm:f>
          </x14:formula1>
          <xm:sqref>C495:C507 B495:B501 G495:G507 AE495:AE507</xm:sqref>
        </x14:dataValidation>
        <x14:dataValidation type="custom" allowBlank="1" showInputMessage="1" showErrorMessage="1" error="Recuerde que las acciones se generan bajo la medida de mitigar el riesgo">
          <x14:formula1>
            <xm:f>IF(OR(AE495='[11]Opciones Tratamiento'!#REF!,AE495='[11]Opciones Tratamiento'!#REF!,AE495='[11]Opciones Tratamiento'!#REF!),ISBLANK(AE495),ISTEXT(AE495))</xm:f>
          </x14:formula1>
          <xm:sqref>AL495:AL507</xm:sqref>
        </x14:dataValidation>
        <x14:dataValidation type="custom" allowBlank="1" showInputMessage="1" showErrorMessage="1" error="Recuerde que las acciones se generan bajo la medida de mitigar el riesgo">
          <x14:formula1>
            <xm:f>IF(OR(AG495='[11]Opciones Tratamiento'!#REF!,AG495='[11]Opciones Tratamiento'!#REF!,AG495='[11]Opciones Tratamiento'!#REF!),ISBLANK(AG495),ISTEXT(AG495))</xm:f>
          </x14:formula1>
          <xm:sqref>AJ495:AJ507</xm:sqref>
        </x14:dataValidation>
        <x14:dataValidation type="custom" allowBlank="1" showInputMessage="1" showErrorMessage="1" error="Recuerde que las acciones se generan bajo la medida de mitigar el riesgo">
          <x14:formula1>
            <xm:f>IF(OR(AE495='[11]Opciones Tratamiento'!#REF!,AE495='[11]Opciones Tratamiento'!#REF!,AE495='[11]Opciones Tratamiento'!#REF!),ISBLANK(AE495),ISTEXT(AE495))</xm:f>
          </x14:formula1>
          <xm:sqref>AK495:AK507</xm:sqref>
        </x14:dataValidation>
        <x14:dataValidation type="list" allowBlank="1" showInputMessage="1" showErrorMessage="1">
          <x14:formula1>
            <xm:f>'[11]Tabla Impacto'!#REF!</xm:f>
          </x14:formula1>
          <xm:sqref>K495:K507</xm:sqref>
        </x14:dataValidation>
        <x14:dataValidation type="list" allowBlank="1" showInputMessage="1" showErrorMessage="1">
          <x14:formula1>
            <xm:f>'[11]Tabla Valoración controles'!#REF!</xm:f>
          </x14:formula1>
          <xm:sqref>S495:T507 V495:X507</xm:sqref>
        </x14:dataValidation>
        <x14:dataValidation type="custom" errorStyle="information" allowBlank="1" showInputMessage="1" showErrorMessage="1" error="Recuerde que las acciones se generan bajo la medida de Compartir o Reducir el riesgo_x000a_">
          <x14:formula1>
            <xm:f>IF(OR(AE508='[12]Opciones Tratamiento'!#REF!,AE508='[12]Opciones Tratamiento'!#REF!),ISBLANK(AE508),ISTEXT(AE508))</xm:f>
          </x14:formula1>
          <xm:sqref>AF508:AF513</xm:sqref>
        </x14:dataValidation>
        <x14:dataValidation type="custom" allowBlank="1" showInputMessage="1" showErrorMessage="1" error="Recuerde que las acciones se generan bajo la medida de mitigar el riesgo">
          <x14:formula1>
            <xm:f>IF(OR(AF508='[12]Opciones Tratamiento'!#REF!,AF508='[12]Opciones Tratamiento'!#REF!,AF508='[12]Opciones Tratamiento'!#REF!),ISBLANK(AF508),ISTEXT(AF508))</xm:f>
          </x14:formula1>
          <xm:sqref>AH508:AI513</xm:sqref>
        </x14:dataValidation>
        <x14:dataValidation type="list" allowBlank="1" showInputMessage="1" showErrorMessage="1">
          <x14:formula1>
            <xm:f>'[12]Opciones Tratamiento'!#REF!</xm:f>
          </x14:formula1>
          <xm:sqref>B508:C513 G508:G513 AE508:AE513</xm:sqref>
        </x14:dataValidation>
        <x14:dataValidation type="custom" allowBlank="1" showInputMessage="1" showErrorMessage="1" error="Recuerde que las acciones se generan bajo la medida de mitigar el riesgo">
          <x14:formula1>
            <xm:f>IF(OR(AE508='[12]Opciones Tratamiento'!#REF!,AE508='[12]Opciones Tratamiento'!#REF!,AE508='[12]Opciones Tratamiento'!#REF!),ISBLANK(AE508),ISTEXT(AE508))</xm:f>
          </x14:formula1>
          <xm:sqref>AL508:AL513</xm:sqref>
        </x14:dataValidation>
        <x14:dataValidation type="custom" allowBlank="1" showInputMessage="1" showErrorMessage="1" error="Recuerde que las acciones se generan bajo la medida de mitigar el riesgo">
          <x14:formula1>
            <xm:f>IF(OR(AG508='[12]Opciones Tratamiento'!#REF!,AG508='[12]Opciones Tratamiento'!#REF!,AG508='[12]Opciones Tratamiento'!#REF!),ISBLANK(AG508),ISTEXT(AG508))</xm:f>
          </x14:formula1>
          <xm:sqref>AJ508:AJ513</xm:sqref>
        </x14:dataValidation>
        <x14:dataValidation type="custom" allowBlank="1" showInputMessage="1" showErrorMessage="1" error="Recuerde que las acciones se generan bajo la medida de mitigar el riesgo">
          <x14:formula1>
            <xm:f>IF(OR(AE508='[12]Opciones Tratamiento'!#REF!,AE508='[12]Opciones Tratamiento'!#REF!,AE508='[12]Opciones Tratamiento'!#REF!),ISBLANK(AE508),ISTEXT(AE508))</xm:f>
          </x14:formula1>
          <xm:sqref>AK508:AK513</xm:sqref>
        </x14:dataValidation>
        <x14:dataValidation type="list" allowBlank="1" showInputMessage="1" showErrorMessage="1">
          <x14:formula1>
            <xm:f>'[12]Tabla Impacto'!#REF!</xm:f>
          </x14:formula1>
          <xm:sqref>K508:K513</xm:sqref>
        </x14:dataValidation>
        <x14:dataValidation type="list" allowBlank="1" showInputMessage="1" showErrorMessage="1">
          <x14:formula1>
            <xm:f>'[12]Tabla Valoración controles'!#REF!</xm:f>
          </x14:formula1>
          <xm:sqref>S508:T513 V508:X513</xm:sqref>
        </x14:dataValidation>
        <x14:dataValidation type="custom" errorStyle="information" allowBlank="1" showInputMessage="1" showErrorMessage="1" error="Recuerde que las acciones se generan bajo la medida de Compartir o Reducir el riesgo_x000a_">
          <x14:formula1>
            <xm:f>IF(OR(AE514='[13]Opciones Tratamiento'!#REF!,AE514='[13]Opciones Tratamiento'!#REF!),ISBLANK(AE514),ISTEXT(AE514))</xm:f>
          </x14:formula1>
          <xm:sqref>AF514:AF525</xm:sqref>
        </x14:dataValidation>
        <x14:dataValidation type="custom" allowBlank="1" showInputMessage="1" showErrorMessage="1" error="Recuerde que las acciones se generan bajo la medida de mitigar el riesgo">
          <x14:formula1>
            <xm:f>IF(OR(AF514='[13]Opciones Tratamiento'!#REF!,AF514='[13]Opciones Tratamiento'!#REF!,AF514='[13]Opciones Tratamiento'!#REF!),ISBLANK(AF514),ISTEXT(AF514))</xm:f>
          </x14:formula1>
          <xm:sqref>AH514:AI525</xm:sqref>
        </x14:dataValidation>
        <x14:dataValidation type="list" allowBlank="1" showInputMessage="1" showErrorMessage="1">
          <x14:formula1>
            <xm:f>'[13]Opciones Tratamiento'!#REF!</xm:f>
          </x14:formula1>
          <xm:sqref>C514:C525 B514:B520 G514:G525 AE514:AE525</xm:sqref>
        </x14:dataValidation>
        <x14:dataValidation type="custom" allowBlank="1" showInputMessage="1" showErrorMessage="1" error="Recuerde que las acciones se generan bajo la medida de mitigar el riesgo">
          <x14:formula1>
            <xm:f>IF(OR(AE514='[13]Opciones Tratamiento'!#REF!,AE514='[13]Opciones Tratamiento'!#REF!,AE514='[13]Opciones Tratamiento'!#REF!),ISBLANK(AE514),ISTEXT(AE514))</xm:f>
          </x14:formula1>
          <xm:sqref>AL514:AL525</xm:sqref>
        </x14:dataValidation>
        <x14:dataValidation type="custom" allowBlank="1" showInputMessage="1" showErrorMessage="1" error="Recuerde que las acciones se generan bajo la medida de mitigar el riesgo">
          <x14:formula1>
            <xm:f>IF(OR(AG514='[13]Opciones Tratamiento'!#REF!,AG514='[13]Opciones Tratamiento'!#REF!,AG514='[13]Opciones Tratamiento'!#REF!),ISBLANK(AG514),ISTEXT(AG514))</xm:f>
          </x14:formula1>
          <xm:sqref>AJ514:AJ525</xm:sqref>
        </x14:dataValidation>
        <x14:dataValidation type="custom" allowBlank="1" showInputMessage="1" showErrorMessage="1" error="Recuerde que las acciones se generan bajo la medida de mitigar el riesgo">
          <x14:formula1>
            <xm:f>IF(OR(AE514='[13]Opciones Tratamiento'!#REF!,AE514='[13]Opciones Tratamiento'!#REF!,AE514='[13]Opciones Tratamiento'!#REF!),ISBLANK(AE514),ISTEXT(AE514))</xm:f>
          </x14:formula1>
          <xm:sqref>AK514:AK525</xm:sqref>
        </x14:dataValidation>
        <x14:dataValidation type="list" allowBlank="1" showInputMessage="1" showErrorMessage="1">
          <x14:formula1>
            <xm:f>'[13]Tabla Impacto'!#REF!</xm:f>
          </x14:formula1>
          <xm:sqref>K514:K525</xm:sqref>
        </x14:dataValidation>
        <x14:dataValidation type="list" allowBlank="1" showInputMessage="1" showErrorMessage="1">
          <x14:formula1>
            <xm:f>'[13]Tabla Valoración controles'!#REF!</xm:f>
          </x14:formula1>
          <xm:sqref>S514:T525 V514:X525</xm:sqref>
        </x14:dataValidation>
        <x14:dataValidation type="list" allowBlank="1" showInputMessage="1" showErrorMessage="1">
          <x14:formula1>
            <xm:f>'[1]Opciones Tratamiento'!#REF!</xm:f>
          </x14:formula1>
          <xm:sqref>G79:G90 AE79:AE90 B79:B85 C79:C90</xm:sqref>
        </x14:dataValidation>
        <x14:dataValidation type="custom" allowBlank="1" showInputMessage="1" showErrorMessage="1" error="Recuerde que las acciones se generan bajo la medida de mitigar el riesgo">
          <x14:formula1>
            <xm:f>IF(OR(AE79='[1]Opciones Tratamiento'!#REF!,AE79='[1]Opciones Tratamiento'!#REF!,AE79='[1]Opciones Tratamiento'!#REF!),ISBLANK(AE79),ISTEXT(AE79))</xm:f>
          </x14:formula1>
          <xm:sqref>AL79:AL90</xm:sqref>
        </x14:dataValidation>
        <x14:dataValidation type="list" allowBlank="1" showInputMessage="1" showErrorMessage="1">
          <x14:formula1>
            <xm:f>'[1]Tabla Impacto'!#REF!</xm:f>
          </x14:formula1>
          <xm:sqref>K79:K90</xm:sqref>
        </x14:dataValidation>
        <x14:dataValidation type="list" allowBlank="1" showInputMessage="1" showErrorMessage="1">
          <x14:formula1>
            <xm:f>'[1]Tabla Valoración controles'!#REF!</xm:f>
          </x14:formula1>
          <xm:sqref>W79:X90</xm:sqref>
        </x14:dataValidation>
        <x14:dataValidation type="list" allowBlank="1" showInputMessage="1" showErrorMessage="1">
          <x14:formula1>
            <xm:f>'[1]Tabla Valoración controles'!#REF!</xm:f>
          </x14:formula1>
          <xm:sqref>V79:V90 S79:T90</xm:sqref>
        </x14:dataValidation>
        <x14:dataValidation type="list" allowBlank="1" showInputMessage="1" showErrorMessage="1">
          <x14:formula1>
            <xm:f>'[26]Opciones Tratamiento'!#REF!</xm:f>
          </x14:formula1>
          <xm:sqref>C532:C537</xm:sqref>
        </x14:dataValidation>
        <x14:dataValidation type="list" allowBlank="1" showInputMessage="1" showErrorMessage="1">
          <x14:formula1>
            <xm:f>'[26]Tabla Impacto'!#REF!</xm:f>
          </x14:formula1>
          <xm:sqref>K532:K537</xm:sqref>
        </x14:dataValidation>
        <x14:dataValidation type="list" allowBlank="1" showInputMessage="1" showErrorMessage="1">
          <x14:formula1>
            <xm:f>'[26]Opciones Tratamiento'!#REF!</xm:f>
          </x14:formula1>
          <xm:sqref>AE532:AE537</xm:sqref>
        </x14:dataValidation>
        <x14:dataValidation type="list" allowBlank="1" showInputMessage="1" showErrorMessage="1">
          <x14:formula1>
            <xm:f>'[26]Opciones Tratamiento'!#REF!</xm:f>
          </x14:formula1>
          <xm:sqref>G532:G537</xm:sqref>
        </x14:dataValidation>
        <x14:dataValidation type="list" allowBlank="1" showInputMessage="1" showErrorMessage="1">
          <x14:formula1>
            <xm:f>'[26]Tabla Valoración controles'!#REF!</xm:f>
          </x14:formula1>
          <xm:sqref>X532:X537</xm:sqref>
        </x14:dataValidation>
        <x14:dataValidation type="list" allowBlank="1" showInputMessage="1" showErrorMessage="1">
          <x14:formula1>
            <xm:f>'[26]Tabla Valoración controles'!#REF!</xm:f>
          </x14:formula1>
          <xm:sqref>W532:W537</xm:sqref>
        </x14:dataValidation>
        <x14:dataValidation type="list" allowBlank="1" showInputMessage="1" showErrorMessage="1">
          <x14:formula1>
            <xm:f>'[26]Tabla Valoración controles'!#REF!</xm:f>
          </x14:formula1>
          <xm:sqref>V532:V537</xm:sqref>
        </x14:dataValidation>
        <x14:dataValidation type="list" allowBlank="1" showInputMessage="1" showErrorMessage="1">
          <x14:formula1>
            <xm:f>'[26]Tabla Valoración controles'!#REF!</xm:f>
          </x14:formula1>
          <xm:sqref>T532:T537</xm:sqref>
        </x14:dataValidation>
        <x14:dataValidation type="list" allowBlank="1" showInputMessage="1" showErrorMessage="1">
          <x14:formula1>
            <xm:f>'[26]Tabla Valoración controles'!#REF!</xm:f>
          </x14:formula1>
          <xm:sqref>S532:S537</xm:sqref>
        </x14:dataValidation>
        <x14:dataValidation type="list" allowBlank="1" showInputMessage="1" showErrorMessage="1">
          <x14:formula1>
            <xm:f>'[26]Opciones Tratamiento'!#REF!</xm:f>
          </x14:formula1>
          <xm:sqref>B532</xm:sqref>
        </x14:dataValidation>
        <x14:dataValidation type="custom" allowBlank="1" showInputMessage="1" showErrorMessage="1" error="Recuerde que las acciones se generan bajo la medida de mitigar el riesgo">
          <x14:formula1>
            <xm:f>IF(OR(AF532='[26]Opciones Tratamiento'!#REF!,AF532='[26]Opciones Tratamiento'!#REF!,AF532='[26]Opciones Tratamiento'!#REF!),ISBLANK(AF532),ISTEXT(AF532))</xm:f>
          </x14:formula1>
          <xm:sqref>AH532:AI537</xm:sqref>
        </x14:dataValidation>
        <x14:dataValidation type="custom" allowBlank="1" showInputMessage="1" showErrorMessage="1" error="Recuerde que las acciones se generan bajo la medida de mitigar el riesgo">
          <x14:formula1>
            <xm:f>IF(OR(AG532='[26]Opciones Tratamiento'!#REF!,AG532='[26]Opciones Tratamiento'!#REF!,AG532='[26]Opciones Tratamiento'!#REF!),ISBLANK(AG532),ISTEXT(AG532))</xm:f>
          </x14:formula1>
          <xm:sqref>AJ532:AJ537</xm:sqref>
        </x14:dataValidation>
        <x14:dataValidation type="custom" errorStyle="information" allowBlank="1" showInputMessage="1" showErrorMessage="1" error="Recuerde que las acciones se generan bajo la medida de Compartir o Reducir el riesgo_x000a_">
          <x14:formula1>
            <xm:f>IF(OR(AE532='[26]Opciones Tratamiento'!#REF!,AE532='[26]Opciones Tratamiento'!#REF!),ISBLANK(AE532),ISTEXT(AE532))</xm:f>
          </x14:formula1>
          <xm:sqref>AF532:AF537</xm:sqref>
        </x14:dataValidation>
        <x14:dataValidation type="custom" allowBlank="1" showInputMessage="1" showErrorMessage="1" error="Recuerde que las acciones se generan bajo la medida de mitigar el riesgo">
          <x14:formula1>
            <xm:f>IF(OR(AE532='[26]Opciones Tratamiento'!#REF!,AE532='[26]Opciones Tratamiento'!#REF!,AE532='[26]Opciones Tratamiento'!#REF!),ISBLANK(AE532),ISTEXT(AE532))</xm:f>
          </x14:formula1>
          <xm:sqref>AL532:AL537</xm:sqref>
        </x14:dataValidation>
        <x14:dataValidation type="custom" allowBlank="1" showInputMessage="1" showErrorMessage="1" error="Recuerde que las acciones se generan bajo la medida de mitigar el riesgo">
          <x14:formula1>
            <xm:f>IF(OR(AE532='[26]Opciones Tratamiento'!#REF!,AE532='[26]Opciones Tratamiento'!#REF!,AE532='[26]Opciones Tratamiento'!#REF!),ISBLANK(AE532),ISTEXT(AE532))</xm:f>
          </x14:formula1>
          <xm:sqref>AK532:AK537</xm:sqref>
        </x14:dataValidation>
        <x14:dataValidation type="custom" errorStyle="information" allowBlank="1" showInputMessage="1" showErrorMessage="1" error="Recuerde que las acciones se generan bajo la medida de Compartir o Reducir el riesgo_x000a_">
          <x14:formula1>
            <xm:f>IF(OR(AE223='[27]Opciones Tratamiento'!#REF!,AE223='[27]Opciones Tratamiento'!#REF!),ISBLANK(AE223),ISTEXT(AE223))</xm:f>
          </x14:formula1>
          <xm:sqref>AF223:AF228</xm:sqref>
        </x14:dataValidation>
        <x14:dataValidation type="custom" allowBlank="1" showInputMessage="1" showErrorMessage="1" error="Recuerde que las acciones se generan bajo la medida de mitigar el riesgo">
          <x14:formula1>
            <xm:f>IF(OR(AF223='[27]Opciones Tratamiento'!#REF!,AF223='[27]Opciones Tratamiento'!#REF!,AF223='[27]Opciones Tratamiento'!#REF!),ISBLANK(AF223),ISTEXT(AF223))</xm:f>
          </x14:formula1>
          <xm:sqref>AH223:AI228</xm:sqref>
        </x14:dataValidation>
        <x14:dataValidation type="list" allowBlank="1" showInputMessage="1" showErrorMessage="1">
          <x14:formula1>
            <xm:f>'[27]Opciones Tratamiento'!#REF!</xm:f>
          </x14:formula1>
          <xm:sqref>C223:C228</xm:sqref>
        </x14:dataValidation>
        <x14:dataValidation type="list" allowBlank="1" showInputMessage="1" showErrorMessage="1">
          <x14:formula1>
            <xm:f>'[27]Opciones Tratamiento'!#REF!</xm:f>
          </x14:formula1>
          <xm:sqref>B223</xm:sqref>
        </x14:dataValidation>
        <x14:dataValidation type="custom" allowBlank="1" showInputMessage="1" showErrorMessage="1" error="Recuerde que las acciones se generan bajo la medida de mitigar el riesgo">
          <x14:formula1>
            <xm:f>IF(OR(AE223='[27]Opciones Tratamiento'!#REF!,AE223='[27]Opciones Tratamiento'!#REF!,AE223='[27]Opciones Tratamiento'!#REF!),ISBLANK(AE223),ISTEXT(AE223))</xm:f>
          </x14:formula1>
          <xm:sqref>AL223:AL228</xm:sqref>
        </x14:dataValidation>
        <x14:dataValidation type="custom" allowBlank="1" showInputMessage="1" showErrorMessage="1" error="Recuerde que las acciones se generan bajo la medida de mitigar el riesgo">
          <x14:formula1>
            <xm:f>IF(OR(AG223='[27]Opciones Tratamiento'!#REF!,AG223='[27]Opciones Tratamiento'!#REF!,AG223='[27]Opciones Tratamiento'!#REF!),ISBLANK(AG223),ISTEXT(AG223))</xm:f>
          </x14:formula1>
          <xm:sqref>AJ223:AJ228</xm:sqref>
        </x14:dataValidation>
        <x14:dataValidation type="custom" allowBlank="1" showInputMessage="1" showErrorMessage="1" error="Recuerde que las acciones se generan bajo la medida de mitigar el riesgo">
          <x14:formula1>
            <xm:f>IF(OR(AE223='[27]Opciones Tratamiento'!#REF!,AE223='[27]Opciones Tratamiento'!#REF!,AE223='[27]Opciones Tratamiento'!#REF!),ISBLANK(AE223),ISTEXT(AE223))</xm:f>
          </x14:formula1>
          <xm:sqref>AK223:AK228</xm:sqref>
        </x14:dataValidation>
        <x14:dataValidation type="list" allowBlank="1" showInputMessage="1" showErrorMessage="1">
          <x14:formula1>
            <xm:f>'[27]Tabla Impacto'!#REF!</xm:f>
          </x14:formula1>
          <xm:sqref>K223:K228</xm:sqref>
        </x14:dataValidation>
        <x14:dataValidation type="list" allowBlank="1" showInputMessage="1" showErrorMessage="1">
          <x14:formula1>
            <xm:f>'[27]Opciones Tratamiento'!#REF!</xm:f>
          </x14:formula1>
          <xm:sqref>AE223:AE228</xm:sqref>
        </x14:dataValidation>
        <x14:dataValidation type="list" allowBlank="1" showInputMessage="1" showErrorMessage="1">
          <x14:formula1>
            <xm:f>'[27]Opciones Tratamiento'!#REF!</xm:f>
          </x14:formula1>
          <xm:sqref>G223:G228</xm:sqref>
        </x14:dataValidation>
        <x14:dataValidation type="list" allowBlank="1" showInputMessage="1" showErrorMessage="1">
          <x14:formula1>
            <xm:f>'[27]Tabla Valoración controles'!#REF!</xm:f>
          </x14:formula1>
          <xm:sqref>X223:X228</xm:sqref>
        </x14:dataValidation>
        <x14:dataValidation type="list" allowBlank="1" showInputMessage="1" showErrorMessage="1">
          <x14:formula1>
            <xm:f>'[27]Tabla Valoración controles'!#REF!</xm:f>
          </x14:formula1>
          <xm:sqref>W223:W228</xm:sqref>
        </x14:dataValidation>
        <x14:dataValidation type="list" allowBlank="1" showInputMessage="1" showErrorMessage="1">
          <x14:formula1>
            <xm:f>'[27]Tabla Valoración controles'!#REF!</xm:f>
          </x14:formula1>
          <xm:sqref>V223:V228</xm:sqref>
        </x14:dataValidation>
        <x14:dataValidation type="list" allowBlank="1" showInputMessage="1" showErrorMessage="1">
          <x14:formula1>
            <xm:f>'[27]Tabla Valoración controles'!#REF!</xm:f>
          </x14:formula1>
          <xm:sqref>T223:T228</xm:sqref>
        </x14:dataValidation>
        <x14:dataValidation type="list" allowBlank="1" showInputMessage="1" showErrorMessage="1">
          <x14:formula1>
            <xm:f>'[27]Tabla Valoración controles'!#REF!</xm:f>
          </x14:formula1>
          <xm:sqref>S223:S228</xm:sqref>
        </x14:dataValidation>
        <x14:dataValidation type="custom" errorStyle="information" allowBlank="1" showInputMessage="1" showErrorMessage="1" error="Recuerde que las acciones se generan bajo la medida de Compartir o Reducir el riesgo_x000a_">
          <x14:formula1>
            <xm:f>IF(OR(AE526='[28]Opciones Tratamiento'!#REF!,AE526='[28]Opciones Tratamiento'!#REF!),ISBLANK(AE526),ISTEXT(AE526))</xm:f>
          </x14:formula1>
          <xm:sqref>AF526:AF531</xm:sqref>
        </x14:dataValidation>
        <x14:dataValidation type="custom" allowBlank="1" showInputMessage="1" showErrorMessage="1" error="Recuerde que las acciones se generan bajo la medida de mitigar el riesgo">
          <x14:formula1>
            <xm:f>IF(OR(AF526='[28]Opciones Tratamiento'!#REF!,AF526='[28]Opciones Tratamiento'!#REF!,AF526='[28]Opciones Tratamiento'!#REF!),ISBLANK(AF526),ISTEXT(AF526))</xm:f>
          </x14:formula1>
          <xm:sqref>AH526:AI531</xm:sqref>
        </x14:dataValidation>
        <x14:dataValidation type="list" allowBlank="1" showInputMessage="1" showErrorMessage="1">
          <x14:formula1>
            <xm:f>'[28]Opciones Tratamiento'!#REF!</xm:f>
          </x14:formula1>
          <xm:sqref>C526:C531</xm:sqref>
        </x14:dataValidation>
        <x14:dataValidation type="custom" allowBlank="1" showInputMessage="1" showErrorMessage="1" error="Recuerde que las acciones se generan bajo la medida de mitigar el riesgo">
          <x14:formula1>
            <xm:f>IF(OR(AE526='[28]Opciones Tratamiento'!#REF!,AE526='[28]Opciones Tratamiento'!#REF!,AE526='[28]Opciones Tratamiento'!#REF!),ISBLANK(AE526),ISTEXT(AE526))</xm:f>
          </x14:formula1>
          <xm:sqref>AL526:AL531</xm:sqref>
        </x14:dataValidation>
        <x14:dataValidation type="custom" allowBlank="1" showInputMessage="1" showErrorMessage="1" error="Recuerde que las acciones se generan bajo la medida de mitigar el riesgo">
          <x14:formula1>
            <xm:f>IF(OR(AG526='[28]Opciones Tratamiento'!#REF!,AG526='[28]Opciones Tratamiento'!#REF!,AG526='[28]Opciones Tratamiento'!#REF!),ISBLANK(AG526),ISTEXT(AG526))</xm:f>
          </x14:formula1>
          <xm:sqref>AJ526:AJ531</xm:sqref>
        </x14:dataValidation>
        <x14:dataValidation type="custom" allowBlank="1" showInputMessage="1" showErrorMessage="1" error="Recuerde que las acciones se generan bajo la medida de mitigar el riesgo">
          <x14:formula1>
            <xm:f>IF(OR(AE526='[28]Opciones Tratamiento'!#REF!,AE526='[28]Opciones Tratamiento'!#REF!,AE526='[28]Opciones Tratamiento'!#REF!),ISBLANK(AE526),ISTEXT(AE526))</xm:f>
          </x14:formula1>
          <xm:sqref>AK526:AK531</xm:sqref>
        </x14:dataValidation>
        <x14:dataValidation type="list" allowBlank="1" showInputMessage="1" showErrorMessage="1">
          <x14:formula1>
            <xm:f>'[28]Tabla Impacto'!#REF!</xm:f>
          </x14:formula1>
          <xm:sqref>K526:K531</xm:sqref>
        </x14:dataValidation>
        <x14:dataValidation type="list" allowBlank="1" showInputMessage="1" showErrorMessage="1">
          <x14:formula1>
            <xm:f>'[28]Opciones Tratamiento'!#REF!</xm:f>
          </x14:formula1>
          <xm:sqref>AE526:AE531</xm:sqref>
        </x14:dataValidation>
        <x14:dataValidation type="list" allowBlank="1" showInputMessage="1" showErrorMessage="1">
          <x14:formula1>
            <xm:f>'[28]Opciones Tratamiento'!#REF!</xm:f>
          </x14:formula1>
          <xm:sqref>G526:G531</xm:sqref>
        </x14:dataValidation>
        <x14:dataValidation type="list" allowBlank="1" showInputMessage="1" showErrorMessage="1">
          <x14:formula1>
            <xm:f>'[28]Tabla Valoración controles'!#REF!</xm:f>
          </x14:formula1>
          <xm:sqref>X526:X531</xm:sqref>
        </x14:dataValidation>
        <x14:dataValidation type="list" allowBlank="1" showInputMessage="1" showErrorMessage="1">
          <x14:formula1>
            <xm:f>'[28]Tabla Valoración controles'!#REF!</xm:f>
          </x14:formula1>
          <xm:sqref>W526:W531</xm:sqref>
        </x14:dataValidation>
        <x14:dataValidation type="list" allowBlank="1" showInputMessage="1" showErrorMessage="1">
          <x14:formula1>
            <xm:f>'[28]Tabla Valoración controles'!#REF!</xm:f>
          </x14:formula1>
          <xm:sqref>V526:V531</xm:sqref>
        </x14:dataValidation>
        <x14:dataValidation type="list" allowBlank="1" showInputMessage="1" showErrorMessage="1">
          <x14:formula1>
            <xm:f>'[28]Tabla Valoración controles'!#REF!</xm:f>
          </x14:formula1>
          <xm:sqref>T526:T531</xm:sqref>
        </x14:dataValidation>
        <x14:dataValidation type="list" allowBlank="1" showInputMessage="1" showErrorMessage="1">
          <x14:formula1>
            <xm:f>'[28]Tabla Valoración controles'!#REF!</xm:f>
          </x14:formula1>
          <xm:sqref>S526:S531</xm:sqref>
        </x14:dataValidation>
        <x14:dataValidation type="list" allowBlank="1" showInputMessage="1" showErrorMessage="1">
          <x14:formula1>
            <xm:f>'[28]Opciones Tratamiento'!#REF!</xm:f>
          </x14:formula1>
          <xm:sqref>B526:B531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5"/>
  <sheetViews>
    <sheetView workbookViewId="0">
      <selection activeCell="A52" sqref="A1:A1048576"/>
    </sheetView>
  </sheetViews>
  <sheetFormatPr baseColWidth="10" defaultRowHeight="15"/>
  <sheetData>
    <row r="1" spans="1:1">
      <c r="A1" s="278">
        <v>3760</v>
      </c>
    </row>
    <row r="2" spans="1:1">
      <c r="A2" s="278">
        <v>3815</v>
      </c>
    </row>
    <row r="3" spans="1:1">
      <c r="A3" s="277">
        <v>4045</v>
      </c>
    </row>
    <row r="4" spans="1:1">
      <c r="A4" s="286">
        <v>4048</v>
      </c>
    </row>
    <row r="5" spans="1:1">
      <c r="A5" s="278">
        <v>4049</v>
      </c>
    </row>
    <row r="6" spans="1:1">
      <c r="A6" s="278">
        <v>4050</v>
      </c>
    </row>
    <row r="7" spans="1:1">
      <c r="A7" s="278">
        <v>4051</v>
      </c>
    </row>
    <row r="8" spans="1:1">
      <c r="A8" s="278">
        <v>4052</v>
      </c>
    </row>
    <row r="9" spans="1:1">
      <c r="A9" s="278">
        <v>4053</v>
      </c>
    </row>
    <row r="10" spans="1:1">
      <c r="A10" s="278">
        <v>4054</v>
      </c>
    </row>
    <row r="11" spans="1:1">
      <c r="A11" s="278">
        <v>4055</v>
      </c>
    </row>
    <row r="12" spans="1:1">
      <c r="A12" s="278">
        <v>4056</v>
      </c>
    </row>
    <row r="13" spans="1:1">
      <c r="A13" s="278">
        <v>4057</v>
      </c>
    </row>
    <row r="14" spans="1:1">
      <c r="A14" s="278">
        <v>4058</v>
      </c>
    </row>
    <row r="15" spans="1:1">
      <c r="A15" s="278">
        <v>4059</v>
      </c>
    </row>
    <row r="16" spans="1:1">
      <c r="A16" s="287">
        <v>4060</v>
      </c>
    </row>
    <row r="17" spans="1:1">
      <c r="A17" s="278">
        <v>4061</v>
      </c>
    </row>
    <row r="18" spans="1:1">
      <c r="A18" s="278">
        <v>4062</v>
      </c>
    </row>
    <row r="19" spans="1:1">
      <c r="A19" s="278">
        <v>4064</v>
      </c>
    </row>
    <row r="20" spans="1:1">
      <c r="A20" s="278">
        <v>4065</v>
      </c>
    </row>
    <row r="21" spans="1:1">
      <c r="A21" s="278">
        <v>4066</v>
      </c>
    </row>
    <row r="22" spans="1:1">
      <c r="A22" s="278">
        <v>4067</v>
      </c>
    </row>
    <row r="23" spans="1:1">
      <c r="A23" s="278">
        <v>4068</v>
      </c>
    </row>
    <row r="24" spans="1:1">
      <c r="A24" s="278">
        <v>4069</v>
      </c>
    </row>
    <row r="25" spans="1:1">
      <c r="A25" s="278">
        <v>4070</v>
      </c>
    </row>
    <row r="26" spans="1:1">
      <c r="A26" s="278">
        <v>4071</v>
      </c>
    </row>
    <row r="27" spans="1:1">
      <c r="A27" s="278">
        <v>4072</v>
      </c>
    </row>
    <row r="28" spans="1:1">
      <c r="A28" s="278">
        <v>4073</v>
      </c>
    </row>
    <row r="29" spans="1:1">
      <c r="A29" s="278">
        <v>4074</v>
      </c>
    </row>
    <row r="30" spans="1:1">
      <c r="A30" s="278">
        <v>4075</v>
      </c>
    </row>
    <row r="31" spans="1:1">
      <c r="A31" s="278">
        <v>4076</v>
      </c>
    </row>
    <row r="32" spans="1:1">
      <c r="A32" s="278">
        <v>4077</v>
      </c>
    </row>
    <row r="33" spans="1:1">
      <c r="A33" s="278">
        <v>4078</v>
      </c>
    </row>
    <row r="34" spans="1:1">
      <c r="A34" s="278">
        <v>4079</v>
      </c>
    </row>
    <row r="35" spans="1:1">
      <c r="A35" s="278">
        <v>4080</v>
      </c>
    </row>
    <row r="36" spans="1:1">
      <c r="A36" s="278">
        <v>4081</v>
      </c>
    </row>
    <row r="37" spans="1:1">
      <c r="A37" s="278">
        <v>4084</v>
      </c>
    </row>
    <row r="38" spans="1:1">
      <c r="A38" s="278">
        <v>4085</v>
      </c>
    </row>
    <row r="39" spans="1:1">
      <c r="A39" s="278">
        <v>4086</v>
      </c>
    </row>
    <row r="40" spans="1:1">
      <c r="A40" s="278">
        <v>4087</v>
      </c>
    </row>
    <row r="41" spans="1:1">
      <c r="A41" s="278">
        <v>4088</v>
      </c>
    </row>
    <row r="42" spans="1:1">
      <c r="A42" s="277">
        <v>4089</v>
      </c>
    </row>
    <row r="43" spans="1:1">
      <c r="A43" s="278">
        <v>4090</v>
      </c>
    </row>
    <row r="44" spans="1:1">
      <c r="A44" s="278">
        <v>4091</v>
      </c>
    </row>
    <row r="45" spans="1:1">
      <c r="A45" s="285">
        <v>4092</v>
      </c>
    </row>
    <row r="46" spans="1:1">
      <c r="A46" s="278">
        <v>4095</v>
      </c>
    </row>
    <row r="47" spans="1:1">
      <c r="A47" s="278">
        <v>4096</v>
      </c>
    </row>
    <row r="48" spans="1:1">
      <c r="A48" s="277">
        <v>4097</v>
      </c>
    </row>
    <row r="49" spans="1:1">
      <c r="A49" s="277">
        <v>4098</v>
      </c>
    </row>
    <row r="50" spans="1:1">
      <c r="A50" s="277">
        <v>4100</v>
      </c>
    </row>
    <row r="51" spans="1:1">
      <c r="A51" s="278">
        <v>4101</v>
      </c>
    </row>
    <row r="52" spans="1:1">
      <c r="A52" s="278">
        <v>4102</v>
      </c>
    </row>
    <row r="53" spans="1:1">
      <c r="A53" s="277">
        <v>4103</v>
      </c>
    </row>
    <row r="54" spans="1:1">
      <c r="A54" s="277">
        <v>4104</v>
      </c>
    </row>
    <row r="55" spans="1:1">
      <c r="A55" s="278">
        <v>4105</v>
      </c>
    </row>
    <row r="56" spans="1:1">
      <c r="A56" s="277">
        <v>4106</v>
      </c>
    </row>
    <row r="57" spans="1:1">
      <c r="A57" s="277">
        <v>4107</v>
      </c>
    </row>
    <row r="58" spans="1:1">
      <c r="A58" s="278">
        <v>4108</v>
      </c>
    </row>
    <row r="59" spans="1:1">
      <c r="A59" s="278">
        <v>4109</v>
      </c>
    </row>
    <row r="60" spans="1:1">
      <c r="A60" s="278">
        <v>4110</v>
      </c>
    </row>
    <row r="61" spans="1:1">
      <c r="A61" s="278">
        <v>4111</v>
      </c>
    </row>
    <row r="62" spans="1:1">
      <c r="A62" s="278">
        <v>4112</v>
      </c>
    </row>
    <row r="63" spans="1:1">
      <c r="A63" s="278">
        <v>4113</v>
      </c>
    </row>
    <row r="64" spans="1:1">
      <c r="A64" s="278">
        <v>4114</v>
      </c>
    </row>
    <row r="65" spans="1:1">
      <c r="A65" s="278">
        <v>4115</v>
      </c>
    </row>
    <row r="66" spans="1:1">
      <c r="A66" s="278">
        <v>4116</v>
      </c>
    </row>
    <row r="67" spans="1:1">
      <c r="A67" s="277">
        <v>4117</v>
      </c>
    </row>
    <row r="68" spans="1:1">
      <c r="A68" s="277">
        <v>4118</v>
      </c>
    </row>
    <row r="69" spans="1:1">
      <c r="A69" s="277">
        <v>4119</v>
      </c>
    </row>
    <row r="70" spans="1:1">
      <c r="A70" s="277">
        <v>4120</v>
      </c>
    </row>
    <row r="71" spans="1:1">
      <c r="A71" s="277">
        <v>4121</v>
      </c>
    </row>
    <row r="72" spans="1:1">
      <c r="A72" s="277">
        <v>4122</v>
      </c>
    </row>
    <row r="73" spans="1:1" ht="15" customHeight="1">
      <c r="A73" s="277">
        <v>4123</v>
      </c>
    </row>
    <row r="74" spans="1:1">
      <c r="A74" s="277">
        <v>4124</v>
      </c>
    </row>
    <row r="75" spans="1:1">
      <c r="A75" s="278">
        <v>4132</v>
      </c>
    </row>
    <row r="76" spans="1:1">
      <c r="A76" s="278">
        <v>4133</v>
      </c>
    </row>
    <row r="77" spans="1:1">
      <c r="A77" s="278">
        <v>4134</v>
      </c>
    </row>
    <row r="78" spans="1:1">
      <c r="A78" s="278">
        <v>4135</v>
      </c>
    </row>
    <row r="79" spans="1:1" ht="15" customHeight="1">
      <c r="A79" s="278">
        <v>4136</v>
      </c>
    </row>
    <row r="80" spans="1:1">
      <c r="A80" s="277">
        <v>4137</v>
      </c>
    </row>
    <row r="81" spans="1:1">
      <c r="A81" s="278">
        <v>4138</v>
      </c>
    </row>
    <row r="82" spans="1:1">
      <c r="A82" s="277">
        <v>4139</v>
      </c>
    </row>
    <row r="83" spans="1:1">
      <c r="A83" s="278">
        <v>4140</v>
      </c>
    </row>
    <row r="84" spans="1:1">
      <c r="A84" s="278">
        <v>4141</v>
      </c>
    </row>
    <row r="85" spans="1:1">
      <c r="A85" s="278">
        <v>4142</v>
      </c>
    </row>
    <row r="133" ht="15" customHeight="1"/>
    <row r="139" ht="15" customHeight="1"/>
    <row r="145" ht="15" customHeight="1"/>
    <row r="151" ht="15" customHeight="1"/>
    <row r="157" ht="15" customHeight="1"/>
    <row r="163" ht="15" customHeight="1"/>
    <row r="169" ht="15" customHeight="1"/>
    <row r="241" ht="15" customHeight="1"/>
    <row r="247" ht="15" customHeight="1"/>
    <row r="253" ht="15" customHeight="1"/>
    <row r="313" ht="15" customHeight="1"/>
    <row r="319" ht="15" customHeight="1"/>
    <row r="325" ht="15" customHeight="1"/>
    <row r="337" ht="15" customHeight="1"/>
    <row r="373" ht="15" customHeight="1"/>
    <row r="415" ht="15" customHeight="1"/>
  </sheetData>
  <sortState ref="A1:A513">
    <sortCondition ref="A5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5"/>
  <sheetViews>
    <sheetView topLeftCell="A43" workbookViewId="0">
      <selection activeCell="E89" sqref="E89"/>
    </sheetView>
  </sheetViews>
  <sheetFormatPr baseColWidth="10" defaultRowHeight="16.5"/>
  <cols>
    <col min="1" max="1" width="4" style="2" bestFit="1" customWidth="1"/>
    <col min="2" max="2" width="40.28515625" style="2" customWidth="1"/>
    <col min="3" max="3" width="17.42578125" style="1" customWidth="1"/>
  </cols>
  <sheetData>
    <row r="1" spans="1:3" ht="15" customHeight="1">
      <c r="A1" s="274" t="s">
        <v>0</v>
      </c>
      <c r="B1" s="275" t="s">
        <v>177</v>
      </c>
      <c r="C1" s="276" t="s">
        <v>246</v>
      </c>
    </row>
    <row r="2" spans="1:3" ht="15">
      <c r="A2" s="264">
        <v>1</v>
      </c>
      <c r="B2" s="277" t="s">
        <v>201</v>
      </c>
      <c r="C2" s="278">
        <v>4132</v>
      </c>
    </row>
    <row r="3" spans="1:3" ht="15">
      <c r="A3" s="264">
        <v>2</v>
      </c>
      <c r="B3" s="277" t="s">
        <v>201</v>
      </c>
      <c r="C3" s="278">
        <v>4133</v>
      </c>
    </row>
    <row r="4" spans="1:3" ht="15">
      <c r="A4" s="264">
        <v>3</v>
      </c>
      <c r="B4" s="277" t="s">
        <v>201</v>
      </c>
      <c r="C4" s="278">
        <v>4134</v>
      </c>
    </row>
    <row r="5" spans="1:3" ht="15">
      <c r="A5" s="264">
        <v>4</v>
      </c>
      <c r="B5" s="277" t="s">
        <v>201</v>
      </c>
      <c r="C5" s="278">
        <v>4135</v>
      </c>
    </row>
    <row r="6" spans="1:3" ht="15">
      <c r="A6" s="264">
        <v>5</v>
      </c>
      <c r="B6" s="277" t="s">
        <v>201</v>
      </c>
      <c r="C6" s="278">
        <v>4136</v>
      </c>
    </row>
    <row r="7" spans="1:3" ht="15">
      <c r="A7" s="264">
        <v>6</v>
      </c>
      <c r="B7" s="277" t="s">
        <v>201</v>
      </c>
      <c r="C7" s="278">
        <v>4138</v>
      </c>
    </row>
    <row r="8" spans="1:3" ht="15">
      <c r="A8" s="264">
        <v>7</v>
      </c>
      <c r="B8" s="277" t="s">
        <v>201</v>
      </c>
      <c r="C8" s="278">
        <v>4140</v>
      </c>
    </row>
    <row r="9" spans="1:3" ht="15">
      <c r="A9" s="264">
        <v>8</v>
      </c>
      <c r="B9" s="277" t="s">
        <v>201</v>
      </c>
      <c r="C9" s="278">
        <v>4141</v>
      </c>
    </row>
    <row r="10" spans="1:3" ht="15">
      <c r="A10" s="264">
        <v>9</v>
      </c>
      <c r="B10" s="277" t="s">
        <v>201</v>
      </c>
      <c r="C10" s="278">
        <v>4142</v>
      </c>
    </row>
    <row r="11" spans="1:3" ht="15">
      <c r="A11" s="264">
        <v>10</v>
      </c>
      <c r="B11" s="277" t="s">
        <v>202</v>
      </c>
      <c r="C11" s="278">
        <v>4108</v>
      </c>
    </row>
    <row r="12" spans="1:3" ht="15">
      <c r="A12" s="264">
        <v>11</v>
      </c>
      <c r="B12" s="277" t="s">
        <v>204</v>
      </c>
      <c r="C12" s="278">
        <v>4088</v>
      </c>
    </row>
    <row r="13" spans="1:3" ht="15">
      <c r="A13" s="264">
        <v>12</v>
      </c>
      <c r="B13" s="277" t="s">
        <v>205</v>
      </c>
      <c r="C13" s="278">
        <v>3815</v>
      </c>
    </row>
    <row r="14" spans="1:3" ht="15">
      <c r="A14" s="264">
        <v>13</v>
      </c>
      <c r="B14" s="277" t="s">
        <v>223</v>
      </c>
      <c r="C14" s="277">
        <v>4089</v>
      </c>
    </row>
    <row r="15" spans="1:3" ht="15">
      <c r="A15" s="264">
        <v>14</v>
      </c>
      <c r="B15" s="277" t="s">
        <v>223</v>
      </c>
      <c r="C15" s="277">
        <v>4092</v>
      </c>
    </row>
    <row r="16" spans="1:3" ht="15">
      <c r="A16" s="264">
        <v>15</v>
      </c>
      <c r="B16" s="277" t="s">
        <v>206</v>
      </c>
      <c r="C16" s="278">
        <v>3760</v>
      </c>
    </row>
    <row r="17" spans="1:3" ht="15">
      <c r="A17" s="264">
        <v>16</v>
      </c>
      <c r="B17" s="279" t="s">
        <v>207</v>
      </c>
      <c r="C17" s="280">
        <v>4048</v>
      </c>
    </row>
    <row r="18" spans="1:3" ht="15">
      <c r="A18" s="264">
        <v>17</v>
      </c>
      <c r="B18" s="277" t="s">
        <v>208</v>
      </c>
      <c r="C18" s="278">
        <v>4109</v>
      </c>
    </row>
    <row r="19" spans="1:3" ht="15">
      <c r="A19" s="264">
        <v>18</v>
      </c>
      <c r="B19" s="277" t="s">
        <v>208</v>
      </c>
      <c r="C19" s="278">
        <v>4110</v>
      </c>
    </row>
    <row r="20" spans="1:3" ht="15">
      <c r="A20" s="264">
        <v>19</v>
      </c>
      <c r="B20" s="277" t="s">
        <v>208</v>
      </c>
      <c r="C20" s="278">
        <v>4111</v>
      </c>
    </row>
    <row r="21" spans="1:3" ht="15">
      <c r="A21" s="264">
        <v>20</v>
      </c>
      <c r="B21" s="277" t="s">
        <v>213</v>
      </c>
      <c r="C21" s="278">
        <v>4116</v>
      </c>
    </row>
    <row r="22" spans="1:3" ht="15">
      <c r="A22" s="264">
        <v>21</v>
      </c>
      <c r="B22" s="277" t="s">
        <v>213</v>
      </c>
      <c r="C22" s="278">
        <v>4115</v>
      </c>
    </row>
    <row r="23" spans="1:3" ht="15">
      <c r="A23" s="264">
        <v>22</v>
      </c>
      <c r="B23" s="277" t="s">
        <v>213</v>
      </c>
      <c r="C23" s="278">
        <v>4112</v>
      </c>
    </row>
    <row r="24" spans="1:3" ht="15">
      <c r="A24" s="264">
        <v>23</v>
      </c>
      <c r="B24" s="277" t="s">
        <v>210</v>
      </c>
      <c r="C24" s="277">
        <v>4117</v>
      </c>
    </row>
    <row r="25" spans="1:3" ht="15">
      <c r="A25" s="264">
        <v>24</v>
      </c>
      <c r="B25" s="277" t="s">
        <v>210</v>
      </c>
      <c r="C25" s="277">
        <v>4119</v>
      </c>
    </row>
    <row r="26" spans="1:3" ht="15">
      <c r="A26" s="264">
        <v>25</v>
      </c>
      <c r="B26" s="277" t="s">
        <v>210</v>
      </c>
      <c r="C26" s="277">
        <v>4120</v>
      </c>
    </row>
    <row r="27" spans="1:3" ht="15">
      <c r="A27" s="264">
        <v>26</v>
      </c>
      <c r="B27" s="277" t="s">
        <v>210</v>
      </c>
      <c r="C27" s="277">
        <v>4121</v>
      </c>
    </row>
    <row r="28" spans="1:3" ht="15">
      <c r="A28" s="264">
        <v>27</v>
      </c>
      <c r="B28" s="277" t="s">
        <v>210</v>
      </c>
      <c r="C28" s="277">
        <v>4122</v>
      </c>
    </row>
    <row r="29" spans="1:3" ht="15">
      <c r="A29" s="264">
        <v>28</v>
      </c>
      <c r="B29" s="277" t="s">
        <v>210</v>
      </c>
      <c r="C29" s="277">
        <v>4123</v>
      </c>
    </row>
    <row r="30" spans="1:3" ht="15">
      <c r="A30" s="264">
        <v>29</v>
      </c>
      <c r="B30" s="277" t="s">
        <v>210</v>
      </c>
      <c r="C30" s="277">
        <v>4124</v>
      </c>
    </row>
    <row r="31" spans="1:3" ht="15">
      <c r="A31" s="264">
        <v>30</v>
      </c>
      <c r="B31" s="277" t="s">
        <v>225</v>
      </c>
      <c r="C31" s="278">
        <v>4069</v>
      </c>
    </row>
    <row r="32" spans="1:3" ht="15">
      <c r="A32" s="264">
        <v>31</v>
      </c>
      <c r="B32" s="277" t="s">
        <v>225</v>
      </c>
      <c r="C32" s="278">
        <v>4071</v>
      </c>
    </row>
    <row r="33" spans="1:3" ht="15">
      <c r="A33" s="264">
        <v>32</v>
      </c>
      <c r="B33" s="277" t="s">
        <v>225</v>
      </c>
      <c r="C33" s="278">
        <v>4076</v>
      </c>
    </row>
    <row r="34" spans="1:3" ht="15">
      <c r="A34" s="264">
        <v>33</v>
      </c>
      <c r="B34" s="277" t="s">
        <v>225</v>
      </c>
      <c r="C34" s="278">
        <v>4079</v>
      </c>
    </row>
    <row r="35" spans="1:3" ht="15">
      <c r="A35" s="264">
        <v>34</v>
      </c>
      <c r="B35" s="277" t="s">
        <v>218</v>
      </c>
      <c r="C35" s="278">
        <v>4051</v>
      </c>
    </row>
    <row r="36" spans="1:3" ht="15">
      <c r="A36" s="264">
        <v>35</v>
      </c>
      <c r="B36" s="277" t="s">
        <v>218</v>
      </c>
      <c r="C36" s="278">
        <v>4052</v>
      </c>
    </row>
    <row r="37" spans="1:3" ht="15">
      <c r="A37" s="264">
        <v>36</v>
      </c>
      <c r="B37" s="277" t="s">
        <v>218</v>
      </c>
      <c r="C37" s="278">
        <v>4053</v>
      </c>
    </row>
    <row r="38" spans="1:3" ht="15">
      <c r="A38" s="264">
        <v>37</v>
      </c>
      <c r="B38" s="277" t="s">
        <v>218</v>
      </c>
      <c r="C38" s="278">
        <v>4054</v>
      </c>
    </row>
    <row r="39" spans="1:3" ht="15">
      <c r="A39" s="264">
        <v>38</v>
      </c>
      <c r="B39" s="277" t="s">
        <v>218</v>
      </c>
      <c r="C39" s="278">
        <v>4055</v>
      </c>
    </row>
    <row r="40" spans="1:3" ht="15">
      <c r="A40" s="264">
        <v>39</v>
      </c>
      <c r="B40" s="277" t="s">
        <v>218</v>
      </c>
      <c r="C40" s="278">
        <v>4056</v>
      </c>
    </row>
    <row r="41" spans="1:3" ht="15">
      <c r="A41" s="264">
        <v>40</v>
      </c>
      <c r="B41" s="277" t="s">
        <v>218</v>
      </c>
      <c r="C41" s="278">
        <v>4057</v>
      </c>
    </row>
    <row r="42" spans="1:3" ht="15">
      <c r="A42" s="264">
        <v>41</v>
      </c>
      <c r="B42" s="277" t="s">
        <v>221</v>
      </c>
      <c r="C42" s="277">
        <v>4097</v>
      </c>
    </row>
    <row r="43" spans="1:3" ht="15">
      <c r="A43" s="264">
        <v>42</v>
      </c>
      <c r="B43" s="277" t="s">
        <v>221</v>
      </c>
      <c r="C43" s="277">
        <v>4098</v>
      </c>
    </row>
    <row r="44" spans="1:3" ht="15">
      <c r="A44" s="264">
        <v>43</v>
      </c>
      <c r="B44" s="277" t="s">
        <v>221</v>
      </c>
      <c r="C44" s="277">
        <v>4100</v>
      </c>
    </row>
    <row r="45" spans="1:3" ht="15">
      <c r="A45" s="264">
        <v>44</v>
      </c>
      <c r="B45" s="277" t="s">
        <v>219</v>
      </c>
      <c r="C45" s="278">
        <v>4113</v>
      </c>
    </row>
    <row r="46" spans="1:3" ht="15">
      <c r="A46" s="264">
        <v>45</v>
      </c>
      <c r="B46" s="277" t="s">
        <v>219</v>
      </c>
      <c r="C46" s="278">
        <v>4114</v>
      </c>
    </row>
    <row r="47" spans="1:3" ht="15">
      <c r="A47" s="264">
        <v>46</v>
      </c>
      <c r="B47" s="277" t="s">
        <v>222</v>
      </c>
      <c r="C47" s="278">
        <v>4058</v>
      </c>
    </row>
    <row r="48" spans="1:3" ht="15">
      <c r="A48" s="264">
        <v>47</v>
      </c>
      <c r="B48" s="277" t="s">
        <v>222</v>
      </c>
      <c r="C48" s="278">
        <v>4059</v>
      </c>
    </row>
    <row r="49" spans="1:3" ht="15">
      <c r="A49" s="264">
        <v>48</v>
      </c>
      <c r="B49" s="277" t="s">
        <v>222</v>
      </c>
      <c r="C49" s="278">
        <v>4060</v>
      </c>
    </row>
    <row r="50" spans="1:3" ht="15">
      <c r="A50" s="264">
        <v>49</v>
      </c>
      <c r="B50" s="277" t="s">
        <v>222</v>
      </c>
      <c r="C50" s="278">
        <v>4061</v>
      </c>
    </row>
    <row r="51" spans="1:3" ht="15">
      <c r="A51" s="264">
        <v>50</v>
      </c>
      <c r="B51" s="277" t="s">
        <v>222</v>
      </c>
      <c r="C51" s="278">
        <v>4062</v>
      </c>
    </row>
    <row r="52" spans="1:3" ht="15">
      <c r="A52" s="264">
        <v>51</v>
      </c>
      <c r="B52" s="277" t="s">
        <v>226</v>
      </c>
      <c r="C52" s="278">
        <v>4049</v>
      </c>
    </row>
    <row r="53" spans="1:3" ht="15">
      <c r="A53" s="264">
        <v>52</v>
      </c>
      <c r="B53" s="277" t="s">
        <v>226</v>
      </c>
      <c r="C53" s="278">
        <v>4050</v>
      </c>
    </row>
    <row r="54" spans="1:3" ht="15">
      <c r="A54" s="264">
        <v>53</v>
      </c>
      <c r="B54" s="277" t="s">
        <v>215</v>
      </c>
      <c r="C54" s="277">
        <v>4103</v>
      </c>
    </row>
    <row r="55" spans="1:3" ht="15">
      <c r="A55" s="264">
        <v>54</v>
      </c>
      <c r="B55" s="277" t="s">
        <v>215</v>
      </c>
      <c r="C55" s="277">
        <v>4104</v>
      </c>
    </row>
    <row r="56" spans="1:3" ht="15">
      <c r="A56" s="264">
        <v>55</v>
      </c>
      <c r="B56" s="277" t="s">
        <v>215</v>
      </c>
      <c r="C56" s="277">
        <v>4107</v>
      </c>
    </row>
    <row r="57" spans="1:3" ht="15">
      <c r="A57" s="264">
        <v>56</v>
      </c>
      <c r="B57" s="277" t="s">
        <v>215</v>
      </c>
      <c r="C57" s="278">
        <v>4105</v>
      </c>
    </row>
    <row r="58" spans="1:3" ht="15">
      <c r="A58" s="264">
        <v>57</v>
      </c>
      <c r="B58" s="277" t="s">
        <v>215</v>
      </c>
      <c r="C58" s="277">
        <v>4106</v>
      </c>
    </row>
    <row r="59" spans="1:3" ht="15">
      <c r="A59" s="264">
        <v>58</v>
      </c>
      <c r="B59" s="277" t="s">
        <v>220</v>
      </c>
      <c r="C59" s="278">
        <v>4101</v>
      </c>
    </row>
    <row r="60" spans="1:3" ht="15">
      <c r="A60" s="264">
        <v>59</v>
      </c>
      <c r="B60" s="277" t="s">
        <v>220</v>
      </c>
      <c r="C60" s="278">
        <v>4102</v>
      </c>
    </row>
    <row r="61" spans="1:3" ht="15">
      <c r="A61" s="264">
        <v>60</v>
      </c>
      <c r="B61" s="277" t="s">
        <v>216</v>
      </c>
      <c r="C61" s="278">
        <v>4070</v>
      </c>
    </row>
    <row r="62" spans="1:3" ht="15">
      <c r="A62" s="264">
        <v>61</v>
      </c>
      <c r="B62" s="277" t="s">
        <v>216</v>
      </c>
      <c r="C62" s="278">
        <v>4078</v>
      </c>
    </row>
    <row r="63" spans="1:3" ht="15">
      <c r="A63" s="264">
        <v>62</v>
      </c>
      <c r="B63" s="277" t="s">
        <v>216</v>
      </c>
      <c r="C63" s="278">
        <v>4081</v>
      </c>
    </row>
    <row r="64" spans="1:3" ht="15">
      <c r="A64" s="264">
        <v>63</v>
      </c>
      <c r="B64" s="277" t="s">
        <v>224</v>
      </c>
      <c r="C64" s="277">
        <v>4118</v>
      </c>
    </row>
    <row r="65" spans="1:3" ht="15">
      <c r="A65" s="264">
        <v>64</v>
      </c>
      <c r="B65" s="277" t="s">
        <v>217</v>
      </c>
      <c r="C65" s="278">
        <v>4075</v>
      </c>
    </row>
    <row r="66" spans="1:3" ht="15">
      <c r="A66" s="264">
        <v>65</v>
      </c>
      <c r="B66" s="277" t="s">
        <v>217</v>
      </c>
      <c r="C66" s="278">
        <v>4080</v>
      </c>
    </row>
    <row r="67" spans="1:3" ht="15">
      <c r="A67" s="264">
        <v>66</v>
      </c>
      <c r="B67" s="277" t="s">
        <v>217</v>
      </c>
      <c r="C67" s="278">
        <v>4084</v>
      </c>
    </row>
    <row r="68" spans="1:3" ht="15">
      <c r="A68" s="264">
        <v>67</v>
      </c>
      <c r="B68" s="277" t="s">
        <v>217</v>
      </c>
      <c r="C68" s="278">
        <v>4085</v>
      </c>
    </row>
    <row r="69" spans="1:3" ht="15">
      <c r="A69" s="264">
        <v>68</v>
      </c>
      <c r="B69" s="277" t="s">
        <v>217</v>
      </c>
      <c r="C69" s="278">
        <v>4090</v>
      </c>
    </row>
    <row r="70" spans="1:3" ht="15">
      <c r="A70" s="264">
        <v>69</v>
      </c>
      <c r="B70" s="277" t="s">
        <v>217</v>
      </c>
      <c r="C70" s="278">
        <v>4091</v>
      </c>
    </row>
    <row r="71" spans="1:3" ht="15">
      <c r="A71" s="264">
        <v>70</v>
      </c>
      <c r="B71" s="277" t="s">
        <v>248</v>
      </c>
      <c r="C71" s="277">
        <v>4045</v>
      </c>
    </row>
    <row r="72" spans="1:3" ht="27">
      <c r="A72" s="264">
        <v>71</v>
      </c>
      <c r="B72" s="277" t="s">
        <v>211</v>
      </c>
      <c r="C72" s="278">
        <v>4095</v>
      </c>
    </row>
    <row r="73" spans="1:3" ht="27">
      <c r="A73" s="264">
        <v>72</v>
      </c>
      <c r="B73" s="277" t="s">
        <v>211</v>
      </c>
      <c r="C73" s="278">
        <v>4096</v>
      </c>
    </row>
    <row r="74" spans="1:3" ht="15">
      <c r="A74" s="264">
        <v>73</v>
      </c>
      <c r="B74" s="281" t="s">
        <v>214</v>
      </c>
      <c r="C74" s="277">
        <v>4137</v>
      </c>
    </row>
    <row r="75" spans="1:3" ht="15" customHeight="1">
      <c r="A75" s="264">
        <v>74</v>
      </c>
      <c r="B75" s="281" t="s">
        <v>214</v>
      </c>
      <c r="C75" s="277">
        <v>4139</v>
      </c>
    </row>
    <row r="76" spans="1:3" ht="15">
      <c r="A76" s="264">
        <v>75</v>
      </c>
      <c r="B76" s="277" t="s">
        <v>212</v>
      </c>
      <c r="C76" s="278">
        <v>4072</v>
      </c>
    </row>
    <row r="77" spans="1:3" ht="15">
      <c r="A77" s="263">
        <v>76</v>
      </c>
      <c r="B77" s="277" t="s">
        <v>212</v>
      </c>
      <c r="C77" s="278">
        <v>4086</v>
      </c>
    </row>
    <row r="78" spans="1:3" ht="15">
      <c r="A78" s="263">
        <v>77</v>
      </c>
      <c r="B78" s="277" t="s">
        <v>212</v>
      </c>
      <c r="C78" s="278">
        <v>4087</v>
      </c>
    </row>
    <row r="79" spans="1:3" ht="15">
      <c r="A79" s="263">
        <v>78</v>
      </c>
      <c r="B79" s="277" t="s">
        <v>212</v>
      </c>
      <c r="C79" s="278">
        <v>4073</v>
      </c>
    </row>
    <row r="80" spans="1:3" ht="15">
      <c r="A80" s="263">
        <v>79</v>
      </c>
      <c r="B80" s="277" t="s">
        <v>212</v>
      </c>
      <c r="C80" s="278">
        <v>4077</v>
      </c>
    </row>
    <row r="81" spans="1:3" ht="15" customHeight="1">
      <c r="A81" s="263">
        <v>80</v>
      </c>
      <c r="B81" s="277" t="s">
        <v>212</v>
      </c>
      <c r="C81" s="278">
        <v>4066</v>
      </c>
    </row>
    <row r="82" spans="1:3" ht="15">
      <c r="A82" s="263">
        <v>81</v>
      </c>
      <c r="B82" s="277" t="s">
        <v>212</v>
      </c>
      <c r="C82" s="278">
        <v>4067</v>
      </c>
    </row>
    <row r="83" spans="1:3" ht="15">
      <c r="A83" s="264">
        <v>82</v>
      </c>
      <c r="B83" s="277" t="s">
        <v>212</v>
      </c>
      <c r="C83" s="278">
        <v>4064</v>
      </c>
    </row>
    <row r="84" spans="1:3" ht="15">
      <c r="A84" s="264">
        <v>83</v>
      </c>
      <c r="B84" s="277" t="s">
        <v>212</v>
      </c>
      <c r="C84" s="278">
        <v>4065</v>
      </c>
    </row>
    <row r="85" spans="1:3" ht="15">
      <c r="A85" s="264">
        <v>84</v>
      </c>
      <c r="B85" s="277" t="s">
        <v>212</v>
      </c>
      <c r="C85" s="278">
        <v>4068</v>
      </c>
    </row>
    <row r="86" spans="1:3" ht="15">
      <c r="A86" s="264">
        <v>85</v>
      </c>
      <c r="B86" s="277" t="s">
        <v>212</v>
      </c>
      <c r="C86" s="278">
        <v>4074</v>
      </c>
    </row>
    <row r="119" ht="15" customHeight="1"/>
    <row r="125" ht="15" customHeight="1"/>
    <row r="131" ht="15" customHeight="1"/>
    <row r="191" ht="15" customHeight="1"/>
    <row r="197" ht="15" customHeight="1"/>
    <row r="203" ht="15" customHeight="1"/>
    <row r="215" ht="15" customHeight="1"/>
    <row r="251" ht="15" customHeight="1"/>
    <row r="293" ht="15" customHeight="1"/>
    <row r="299" ht="15" customHeight="1"/>
    <row r="305" ht="15" customHeight="1"/>
  </sheetData>
  <autoFilter ref="A1:C86"/>
  <dataValidations count="1">
    <dataValidation type="list" allowBlank="1" showInputMessage="1" showErrorMessage="1" sqref="B13">
      <formula1>#REF!</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'[14]Opciones Tratamiento'!#REF!</xm:f>
          </x14:formula1>
          <xm:sqref>B86</xm:sqref>
        </x14:dataValidation>
        <x14:dataValidation type="list" allowBlank="1" showInputMessage="1" showErrorMessage="1">
          <x14:formula1>
            <xm:f>'[13]Opciones Tratamiento'!#REF!</xm:f>
          </x14:formula1>
          <xm:sqref>B85</xm:sqref>
        </x14:dataValidation>
        <x14:dataValidation type="list" allowBlank="1" showInputMessage="1" showErrorMessage="1">
          <x14:formula1>
            <xm:f>'[13]Opciones Tratamiento'!#REF!</xm:f>
          </x14:formula1>
          <xm:sqref>B84</xm:sqref>
        </x14:dataValidation>
        <x14:dataValidation type="list" allowBlank="1" showInputMessage="1" showErrorMessage="1">
          <x14:formula1>
            <xm:f>'[12]Opciones Tratamiento'!#REF!</xm:f>
          </x14:formula1>
          <xm:sqref>B83</xm:sqref>
        </x14:dataValidation>
        <x14:dataValidation type="list" allowBlank="1" showInputMessage="1" showErrorMessage="1">
          <x14:formula1>
            <xm:f>'[11]Opciones Tratamiento'!#REF!</xm:f>
          </x14:formula1>
          <xm:sqref>B82</xm:sqref>
        </x14:dataValidation>
        <x14:dataValidation type="list" allowBlank="1" showInputMessage="1" showErrorMessage="1">
          <x14:formula1>
            <xm:f>'[11]Opciones Tratamiento'!#REF!</xm:f>
          </x14:formula1>
          <xm:sqref>B81</xm:sqref>
        </x14:dataValidation>
        <x14:dataValidation type="list" allowBlank="1" showInputMessage="1" showErrorMessage="1">
          <x14:formula1>
            <xm:f>'[10]Opciones Tratamiento'!#REF!</xm:f>
          </x14:formula1>
          <xm:sqref>B80</xm:sqref>
        </x14:dataValidation>
        <x14:dataValidation type="list" allowBlank="1" showInputMessage="1" showErrorMessage="1">
          <x14:formula1>
            <xm:f>'[10]Opciones Tratamiento'!#REF!</xm:f>
          </x14:formula1>
          <xm:sqref>B79</xm:sqref>
        </x14:dataValidation>
        <x14:dataValidation type="list" allowBlank="1" showInputMessage="1" showErrorMessage="1">
          <x14:formula1>
            <xm:f>'[25]Opciones Tratamiento'!#REF!</xm:f>
          </x14:formula1>
          <xm:sqref>B73</xm:sqref>
        </x14:dataValidation>
        <x14:dataValidation type="list" allowBlank="1" showInputMessage="1" showErrorMessage="1">
          <x14:formula1>
            <xm:f>'[25]Opciones Tratamiento'!#REF!</xm:f>
          </x14:formula1>
          <xm:sqref>B72</xm:sqref>
        </x14:dataValidation>
        <x14:dataValidation type="list" allowBlank="1" showInputMessage="1" showErrorMessage="1">
          <x14:formula1>
            <xm:f>'[24]Opciones Tratamiento'!#REF!</xm:f>
          </x14:formula1>
          <xm:sqref>B76</xm:sqref>
        </x14:dataValidation>
        <x14:dataValidation type="list" allowBlank="1" showErrorMessage="1">
          <x14:formula1>
            <xm:f>[8]Hoja1!#REF!</xm:f>
          </x14:formula1>
          <xm:sqref>B74 B75</xm:sqref>
        </x14:dataValidation>
        <x14:dataValidation type="list" allowBlank="1" showInputMessage="1" showErrorMessage="1">
          <x14:formula1>
            <xm:f>'[23]Opciones Tratamiento'!#REF!</xm:f>
          </x14:formula1>
          <xm:sqref>B71</xm:sqref>
        </x14:dataValidation>
        <x14:dataValidation type="list" allowBlank="1" showInputMessage="1" showErrorMessage="1">
          <x14:formula1>
            <xm:f>'[22]Opciones Tratamiento'!#REF!</xm:f>
          </x14:formula1>
          <xm:sqref>B65:B70</xm:sqref>
        </x14:dataValidation>
        <x14:dataValidation type="list" allowBlank="1" showInputMessage="1" showErrorMessage="1">
          <x14:formula1>
            <xm:f>'[7]Opciones Tratamiento'!#REF!</xm:f>
          </x14:formula1>
          <xm:sqref>B64</xm:sqref>
        </x14:dataValidation>
        <x14:dataValidation type="list" allowBlank="1" showInputMessage="1" showErrorMessage="1">
          <x14:formula1>
            <xm:f>'[21]Opciones Tratamiento'!#REF!</xm:f>
          </x14:formula1>
          <xm:sqref>B61:B63</xm:sqref>
        </x14:dataValidation>
        <x14:dataValidation type="list" allowBlank="1" showInputMessage="1" showErrorMessage="1">
          <x14:formula1>
            <xm:f>'[19]Opciones Tratamiento'!#REF!</xm:f>
          </x14:formula1>
          <xm:sqref>B54:B58</xm:sqref>
        </x14:dataValidation>
        <x14:dataValidation type="list" allowBlank="1" showInputMessage="1" showErrorMessage="1">
          <x14:formula1>
            <xm:f>'[17]Opciones Tratamiento'!#REF!</xm:f>
          </x14:formula1>
          <xm:sqref>B47:B51</xm:sqref>
        </x14:dataValidation>
        <x14:dataValidation type="list" allowBlank="1" showInputMessage="1" showErrorMessage="1">
          <x14:formula1>
            <xm:f>'[15]Opciones Tratamiento'!#REF!</xm:f>
          </x14:formula1>
          <xm:sqref>B42:B44</xm:sqref>
        </x14:dataValidation>
        <x14:dataValidation type="list" allowBlank="1" showErrorMessage="1">
          <x14:formula1>
            <xm:f>'[6]Opciones Tratamiento'!#REF!</xm:f>
          </x14:formula1>
          <xm:sqref>B17</xm:sqref>
        </x14:dataValidation>
        <x14:dataValidation type="list" allowBlank="1" showInputMessage="1" showErrorMessage="1">
          <x14:formula1>
            <xm:f>'[5]Opciones Tratamiento'!#REF!</xm:f>
          </x14:formula1>
          <xm:sqref>B16</xm:sqref>
        </x14:dataValidation>
        <x14:dataValidation type="list" allowBlank="1" showInputMessage="1" showErrorMessage="1">
          <x14:formula1>
            <xm:f>'[1]Opciones Tratamiento'!#REF!</xm:f>
          </x14:formula1>
          <xm:sqref>B18:B41 B14:B15 B11:B12</xm:sqref>
        </x14:dataValidation>
        <x14:dataValidation type="list" allowBlank="1" showInputMessage="1" showErrorMessage="1">
          <x14:formula1>
            <xm:f>'Opciones Tratamiento'!$B$34:$B$59</xm:f>
          </x14:formula1>
          <xm:sqref>B2</xm:sqref>
        </x14:dataValidation>
        <x14:dataValidation type="list" allowBlank="1" showInputMessage="1" showErrorMessage="1">
          <x14:formula1>
            <xm:f>'Opciones Tratamiento'!$B$34:$B$57</xm:f>
          </x14:formula1>
          <xm:sqref>B3 B4:B10</xm:sqref>
        </x14:dataValidation>
        <x14:dataValidation type="list" allowBlank="1" showInputMessage="1" showErrorMessage="1">
          <x14:formula1>
            <xm:f>'[9]Opciones Tratamiento'!#REF!</xm:f>
          </x14:formula1>
          <xm:sqref>B77:B78</xm:sqref>
        </x14:dataValidation>
        <x14:dataValidation type="list" allowBlank="1" showInputMessage="1" showErrorMessage="1">
          <x14:formula1>
            <xm:f>'[20]Opciones Tratamiento'!#REF!</xm:f>
          </x14:formula1>
          <xm:sqref>B59:B60</xm:sqref>
        </x14:dataValidation>
        <x14:dataValidation type="list" allowBlank="1" showInputMessage="1" showErrorMessage="1">
          <x14:formula1>
            <xm:f>'[18]Opciones Tratamiento'!#REF!</xm:f>
          </x14:formula1>
          <xm:sqref>B52:B53</xm:sqref>
        </x14:dataValidation>
        <x14:dataValidation type="list" allowBlank="1" showInputMessage="1" showErrorMessage="1">
          <x14:formula1>
            <xm:f>'[16]Opciones Tratamiento'!#REF!</xm:f>
          </x14:formula1>
          <xm:sqref>B45:B46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zoomScale="40" zoomScaleNormal="40" workbookViewId="0">
      <selection activeCell="B6" sqref="B6:D45"/>
    </sheetView>
  </sheetViews>
  <sheetFormatPr baseColWidth="10" defaultRowHeight="15"/>
  <cols>
    <col min="2" max="39" width="5.7109375" customWidth="1"/>
    <col min="41" max="46" width="5.7109375" customWidth="1"/>
  </cols>
  <sheetData>
    <row r="1" spans="1:99">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c r="A2" s="76"/>
      <c r="B2" s="427" t="s">
        <v>147</v>
      </c>
      <c r="C2" s="427"/>
      <c r="D2" s="427"/>
      <c r="E2" s="427"/>
      <c r="F2" s="427"/>
      <c r="G2" s="427"/>
      <c r="H2" s="427"/>
      <c r="I2" s="427"/>
      <c r="J2" s="465" t="s">
        <v>2</v>
      </c>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c r="A3" s="76"/>
      <c r="B3" s="427"/>
      <c r="C3" s="427"/>
      <c r="D3" s="427"/>
      <c r="E3" s="427"/>
      <c r="F3" s="427"/>
      <c r="G3" s="427"/>
      <c r="H3" s="427"/>
      <c r="I3" s="427"/>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c r="A4" s="76"/>
      <c r="B4" s="427"/>
      <c r="C4" s="427"/>
      <c r="D4" s="427"/>
      <c r="E4" s="427"/>
      <c r="F4" s="427"/>
      <c r="G4" s="427"/>
      <c r="H4" s="427"/>
      <c r="I4" s="427"/>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c r="A6" s="76"/>
      <c r="B6" s="477" t="s">
        <v>4</v>
      </c>
      <c r="C6" s="477"/>
      <c r="D6" s="478"/>
      <c r="E6" s="466" t="s">
        <v>108</v>
      </c>
      <c r="F6" s="467"/>
      <c r="G6" s="467"/>
      <c r="H6" s="467"/>
      <c r="I6" s="468"/>
      <c r="J6" s="462" t="str">
        <f ca="1">IF(AND('Mapa Riesgos'!$I$13="Muy Alta",'Mapa Riesgos'!$M$13="Leve"),CONCATENATE("R",'Mapa Riesgos'!$A$13),"")</f>
        <v/>
      </c>
      <c r="K6" s="463"/>
      <c r="L6" s="463" t="str">
        <f ca="1">IF(AND('Mapa Riesgos'!$I$19="Muy Alta",'Mapa Riesgos'!$M$19="Leve"),CONCATENATE("R",'Mapa Riesgos'!$A$19),"")</f>
        <v/>
      </c>
      <c r="M6" s="463"/>
      <c r="N6" s="463" t="str">
        <f ca="1">IF(AND('Mapa Riesgos'!$I$25="Muy Alta",'Mapa Riesgos'!$M$25="Leve"),CONCATENATE("R",'Mapa Riesgos'!$A$25),"")</f>
        <v/>
      </c>
      <c r="O6" s="464"/>
      <c r="P6" s="462" t="str">
        <f ca="1">IF(AND('Mapa Riesgos'!$I$13="Muy Alta",'Mapa Riesgos'!$M$13="Menor"),CONCATENATE("R",'Mapa Riesgos'!$A$13),"")</f>
        <v/>
      </c>
      <c r="Q6" s="463"/>
      <c r="R6" s="463" t="str">
        <f ca="1">IF(AND('Mapa Riesgos'!$I$19="Muy Alta",'Mapa Riesgos'!$M$19="Menor"),CONCATENATE("R",'Mapa Riesgos'!$A$19),"")</f>
        <v/>
      </c>
      <c r="S6" s="463"/>
      <c r="T6" s="463" t="str">
        <f ca="1">IF(AND('Mapa Riesgos'!$I$25="Muy Alta",'Mapa Riesgos'!$M$25="Menor"),CONCATENATE("R",'Mapa Riesgos'!$A$25),"")</f>
        <v/>
      </c>
      <c r="U6" s="464"/>
      <c r="V6" s="462" t="str">
        <f ca="1">IF(AND('Mapa Riesgos'!$I$13="Muy Alta",'Mapa Riesgos'!$M$13="Moderado"),CONCATENATE("R",'Mapa Riesgos'!$A$13),"")</f>
        <v/>
      </c>
      <c r="W6" s="463"/>
      <c r="X6" s="463" t="str">
        <f ca="1">IF(AND('Mapa Riesgos'!$I$19="Muy Alta",'Mapa Riesgos'!$M$19="Moderado"),CONCATENATE("R",'Mapa Riesgos'!$A$19),"")</f>
        <v/>
      </c>
      <c r="Y6" s="463"/>
      <c r="Z6" s="463" t="str">
        <f ca="1">IF(AND('Mapa Riesgos'!$I$25="Muy Alta",'Mapa Riesgos'!$M$25="Moderado"),CONCATENATE("R",'Mapa Riesgos'!$A$25),"")</f>
        <v/>
      </c>
      <c r="AA6" s="464"/>
      <c r="AB6" s="462" t="str">
        <f ca="1">IF(AND('Mapa Riesgos'!$I$13="Muy Alta",'Mapa Riesgos'!$M$13="Mayor"),CONCATENATE("R",'Mapa Riesgos'!$A$13),"")</f>
        <v/>
      </c>
      <c r="AC6" s="463"/>
      <c r="AD6" s="463" t="str">
        <f ca="1">IF(AND('Mapa Riesgos'!$I$19="Muy Alta",'Mapa Riesgos'!$M$19="Mayor"),CONCATENATE("R",'Mapa Riesgos'!$A$19),"")</f>
        <v/>
      </c>
      <c r="AE6" s="463"/>
      <c r="AF6" s="463" t="str">
        <f ca="1">IF(AND('Mapa Riesgos'!$I$25="Muy Alta",'Mapa Riesgos'!$M$25="Mayor"),CONCATENATE("R",'Mapa Riesgos'!$A$25),"")</f>
        <v/>
      </c>
      <c r="AG6" s="464"/>
      <c r="AH6" s="452" t="str">
        <f ca="1">IF(AND('Mapa Riesgos'!$I$13="Muy Alta",'Mapa Riesgos'!$M$13="Catastrófico"),CONCATENATE("R",'Mapa Riesgos'!$A$13),"")</f>
        <v/>
      </c>
      <c r="AI6" s="453"/>
      <c r="AJ6" s="453" t="str">
        <f ca="1">IF(AND('Mapa Riesgos'!$I$19="Muy Alta",'Mapa Riesgos'!$M$19="Catastrófico"),CONCATENATE("R",'Mapa Riesgos'!$A$19),"")</f>
        <v/>
      </c>
      <c r="AK6" s="453"/>
      <c r="AL6" s="453" t="str">
        <f ca="1">IF(AND('Mapa Riesgos'!$I$25="Muy Alta",'Mapa Riesgos'!$M$25="Catastrófico"),CONCATENATE("R",'Mapa Riesgos'!$A$25),"")</f>
        <v/>
      </c>
      <c r="AM6" s="454"/>
      <c r="AO6" s="479" t="s">
        <v>75</v>
      </c>
      <c r="AP6" s="480"/>
      <c r="AQ6" s="480"/>
      <c r="AR6" s="480"/>
      <c r="AS6" s="480"/>
      <c r="AT6" s="481"/>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c r="A7" s="76"/>
      <c r="B7" s="477"/>
      <c r="C7" s="477"/>
      <c r="D7" s="478"/>
      <c r="E7" s="469"/>
      <c r="F7" s="470"/>
      <c r="G7" s="470"/>
      <c r="H7" s="470"/>
      <c r="I7" s="471"/>
      <c r="J7" s="455"/>
      <c r="K7" s="456"/>
      <c r="L7" s="456"/>
      <c r="M7" s="456"/>
      <c r="N7" s="456"/>
      <c r="O7" s="458"/>
      <c r="P7" s="455"/>
      <c r="Q7" s="456"/>
      <c r="R7" s="456"/>
      <c r="S7" s="456"/>
      <c r="T7" s="456"/>
      <c r="U7" s="458"/>
      <c r="V7" s="455"/>
      <c r="W7" s="456"/>
      <c r="X7" s="456"/>
      <c r="Y7" s="456"/>
      <c r="Z7" s="456"/>
      <c r="AA7" s="458"/>
      <c r="AB7" s="455"/>
      <c r="AC7" s="456"/>
      <c r="AD7" s="456"/>
      <c r="AE7" s="456"/>
      <c r="AF7" s="456"/>
      <c r="AG7" s="458"/>
      <c r="AH7" s="446"/>
      <c r="AI7" s="447"/>
      <c r="AJ7" s="447"/>
      <c r="AK7" s="447"/>
      <c r="AL7" s="447"/>
      <c r="AM7" s="448"/>
      <c r="AN7" s="76"/>
      <c r="AO7" s="482"/>
      <c r="AP7" s="483"/>
      <c r="AQ7" s="483"/>
      <c r="AR7" s="483"/>
      <c r="AS7" s="483"/>
      <c r="AT7" s="484"/>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c r="A8" s="76"/>
      <c r="B8" s="477"/>
      <c r="C8" s="477"/>
      <c r="D8" s="478"/>
      <c r="E8" s="469"/>
      <c r="F8" s="470"/>
      <c r="G8" s="470"/>
      <c r="H8" s="470"/>
      <c r="I8" s="471"/>
      <c r="J8" s="455" t="str">
        <f ca="1">IF(AND('Mapa Riesgos'!$I$31="Muy Alta",'Mapa Riesgos'!$M$31="Leve"),CONCATENATE("R",'Mapa Riesgos'!$A$31),"")</f>
        <v/>
      </c>
      <c r="K8" s="456"/>
      <c r="L8" s="457" t="str">
        <f ca="1">IF(AND('Mapa Riesgos'!$I$37="Muy Alta",'Mapa Riesgos'!$M$37="Leve"),CONCATENATE("R",'Mapa Riesgos'!$A$37),"")</f>
        <v/>
      </c>
      <c r="M8" s="457"/>
      <c r="N8" s="457" t="str">
        <f ca="1">IF(AND('Mapa Riesgos'!$I$43="Muy Alta",'Mapa Riesgos'!$M$43="Leve"),CONCATENATE("R",'Mapa Riesgos'!$A$43),"")</f>
        <v/>
      </c>
      <c r="O8" s="458"/>
      <c r="P8" s="455" t="str">
        <f ca="1">IF(AND('Mapa Riesgos'!$I$31="Muy Alta",'Mapa Riesgos'!$M$31="Menor"),CONCATENATE("R",'Mapa Riesgos'!$A$31),"")</f>
        <v/>
      </c>
      <c r="Q8" s="456"/>
      <c r="R8" s="457" t="str">
        <f ca="1">IF(AND('Mapa Riesgos'!$I$37="Muy Alta",'Mapa Riesgos'!$M$37="Menor"),CONCATENATE("R",'Mapa Riesgos'!$A$37),"")</f>
        <v/>
      </c>
      <c r="S8" s="457"/>
      <c r="T8" s="457" t="str">
        <f ca="1">IF(AND('Mapa Riesgos'!$I$43="Muy Alta",'Mapa Riesgos'!$M$43="Menor"),CONCATENATE("R",'Mapa Riesgos'!$A$43),"")</f>
        <v/>
      </c>
      <c r="U8" s="458"/>
      <c r="V8" s="455" t="str">
        <f ca="1">IF(AND('Mapa Riesgos'!$I$31="Muy Alta",'Mapa Riesgos'!$M$31="Moderado"),CONCATENATE("R",'Mapa Riesgos'!$A$31),"")</f>
        <v/>
      </c>
      <c r="W8" s="456"/>
      <c r="X8" s="457" t="str">
        <f ca="1">IF(AND('Mapa Riesgos'!$I$37="Muy Alta",'Mapa Riesgos'!$M$37="Moderado"),CONCATENATE("R",'Mapa Riesgos'!$A$37),"")</f>
        <v/>
      </c>
      <c r="Y8" s="457"/>
      <c r="Z8" s="457" t="str">
        <f ca="1">IF(AND('Mapa Riesgos'!$I$43="Muy Alta",'Mapa Riesgos'!$M$43="Moderado"),CONCATENATE("R",'Mapa Riesgos'!$A$43),"")</f>
        <v/>
      </c>
      <c r="AA8" s="458"/>
      <c r="AB8" s="455" t="str">
        <f ca="1">IF(AND('Mapa Riesgos'!$I$31="Muy Alta",'Mapa Riesgos'!$M$31="Mayor"),CONCATENATE("R",'Mapa Riesgos'!$A$31),"")</f>
        <v/>
      </c>
      <c r="AC8" s="456"/>
      <c r="AD8" s="457" t="str">
        <f ca="1">IF(AND('Mapa Riesgos'!$I$37="Muy Alta",'Mapa Riesgos'!$M$37="Mayor"),CONCATENATE("R",'Mapa Riesgos'!$A$37),"")</f>
        <v/>
      </c>
      <c r="AE8" s="457"/>
      <c r="AF8" s="457" t="str">
        <f ca="1">IF(AND('Mapa Riesgos'!$I$43="Muy Alta",'Mapa Riesgos'!$M$43="Mayor"),CONCATENATE("R",'Mapa Riesgos'!$A$43),"")</f>
        <v/>
      </c>
      <c r="AG8" s="458"/>
      <c r="AH8" s="446" t="str">
        <f ca="1">IF(AND('Mapa Riesgos'!$I$31="Muy Alta",'Mapa Riesgos'!$M$31="Catastrófico"),CONCATENATE("R",'Mapa Riesgos'!$A$31),"")</f>
        <v/>
      </c>
      <c r="AI8" s="447"/>
      <c r="AJ8" s="447" t="str">
        <f ca="1">IF(AND('Mapa Riesgos'!$I$37="Muy Alta",'Mapa Riesgos'!$M$37="Catastrófico"),CONCATENATE("R",'Mapa Riesgos'!$A$37),"")</f>
        <v/>
      </c>
      <c r="AK8" s="447"/>
      <c r="AL8" s="447" t="str">
        <f ca="1">IF(AND('Mapa Riesgos'!$I$43="Muy Alta",'Mapa Riesgos'!$M$43="Catastrófico"),CONCATENATE("R",'Mapa Riesgos'!$A$43),"")</f>
        <v/>
      </c>
      <c r="AM8" s="448"/>
      <c r="AN8" s="76"/>
      <c r="AO8" s="482"/>
      <c r="AP8" s="483"/>
      <c r="AQ8" s="483"/>
      <c r="AR8" s="483"/>
      <c r="AS8" s="483"/>
      <c r="AT8" s="484"/>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c r="A9" s="76"/>
      <c r="B9" s="477"/>
      <c r="C9" s="477"/>
      <c r="D9" s="478"/>
      <c r="E9" s="469"/>
      <c r="F9" s="470"/>
      <c r="G9" s="470"/>
      <c r="H9" s="470"/>
      <c r="I9" s="471"/>
      <c r="J9" s="455"/>
      <c r="K9" s="456"/>
      <c r="L9" s="457"/>
      <c r="M9" s="457"/>
      <c r="N9" s="457"/>
      <c r="O9" s="458"/>
      <c r="P9" s="455"/>
      <c r="Q9" s="456"/>
      <c r="R9" s="457"/>
      <c r="S9" s="457"/>
      <c r="T9" s="457"/>
      <c r="U9" s="458"/>
      <c r="V9" s="455"/>
      <c r="W9" s="456"/>
      <c r="X9" s="457"/>
      <c r="Y9" s="457"/>
      <c r="Z9" s="457"/>
      <c r="AA9" s="458"/>
      <c r="AB9" s="455"/>
      <c r="AC9" s="456"/>
      <c r="AD9" s="457"/>
      <c r="AE9" s="457"/>
      <c r="AF9" s="457"/>
      <c r="AG9" s="458"/>
      <c r="AH9" s="446"/>
      <c r="AI9" s="447"/>
      <c r="AJ9" s="447"/>
      <c r="AK9" s="447"/>
      <c r="AL9" s="447"/>
      <c r="AM9" s="448"/>
      <c r="AN9" s="76"/>
      <c r="AO9" s="482"/>
      <c r="AP9" s="483"/>
      <c r="AQ9" s="483"/>
      <c r="AR9" s="483"/>
      <c r="AS9" s="483"/>
      <c r="AT9" s="484"/>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c r="A10" s="76"/>
      <c r="B10" s="477"/>
      <c r="C10" s="477"/>
      <c r="D10" s="478"/>
      <c r="E10" s="469"/>
      <c r="F10" s="470"/>
      <c r="G10" s="470"/>
      <c r="H10" s="470"/>
      <c r="I10" s="471"/>
      <c r="J10" s="455" t="str">
        <f ca="1">IF(AND('Mapa Riesgos'!$I$49="Muy Alta",'Mapa Riesgos'!$M$49="Leve"),CONCATENATE("R",'Mapa Riesgos'!$A$49),"")</f>
        <v/>
      </c>
      <c r="K10" s="456"/>
      <c r="L10" s="457" t="str">
        <f ca="1">IF(AND('Mapa Riesgos'!$I$55="Muy Alta",'Mapa Riesgos'!$M$55="Leve"),CONCATENATE("R",'Mapa Riesgos'!$A$55),"")</f>
        <v/>
      </c>
      <c r="M10" s="457"/>
      <c r="N10" s="457" t="str">
        <f ca="1">IF(AND('Mapa Riesgos'!$I$61="Muy Alta",'Mapa Riesgos'!$M$61="Leve"),CONCATENATE("R",'Mapa Riesgos'!$A$61),"")</f>
        <v/>
      </c>
      <c r="O10" s="458"/>
      <c r="P10" s="455" t="str">
        <f ca="1">IF(AND('Mapa Riesgos'!$I$49="Muy Alta",'Mapa Riesgos'!$M$49="Menor"),CONCATENATE("R",'Mapa Riesgos'!$A$49),"")</f>
        <v/>
      </c>
      <c r="Q10" s="456"/>
      <c r="R10" s="457" t="str">
        <f ca="1">IF(AND('Mapa Riesgos'!$I$55="Muy Alta",'Mapa Riesgos'!$M$55="Menor"),CONCATENATE("R",'Mapa Riesgos'!$A$55),"")</f>
        <v/>
      </c>
      <c r="S10" s="457"/>
      <c r="T10" s="457" t="str">
        <f ca="1">IF(AND('Mapa Riesgos'!$I$61="Muy Alta",'Mapa Riesgos'!$M$61="Menor"),CONCATENATE("R",'Mapa Riesgos'!$A$61),"")</f>
        <v/>
      </c>
      <c r="U10" s="458"/>
      <c r="V10" s="455" t="str">
        <f ca="1">IF(AND('Mapa Riesgos'!$I$49="Muy Alta",'Mapa Riesgos'!$M$49="Moderado"),CONCATENATE("R",'Mapa Riesgos'!$A$49),"")</f>
        <v/>
      </c>
      <c r="W10" s="456"/>
      <c r="X10" s="457" t="str">
        <f ca="1">IF(AND('Mapa Riesgos'!$I$55="Muy Alta",'Mapa Riesgos'!$M$55="Moderado"),CONCATENATE("R",'Mapa Riesgos'!$A$55),"")</f>
        <v/>
      </c>
      <c r="Y10" s="457"/>
      <c r="Z10" s="457" t="str">
        <f ca="1">IF(AND('Mapa Riesgos'!$I$61="Muy Alta",'Mapa Riesgos'!$M$61="Moderado"),CONCATENATE("R",'Mapa Riesgos'!$A$61),"")</f>
        <v/>
      </c>
      <c r="AA10" s="458"/>
      <c r="AB10" s="455" t="str">
        <f ca="1">IF(AND('Mapa Riesgos'!$I$49="Muy Alta",'Mapa Riesgos'!$M$49="Mayor"),CONCATENATE("R",'Mapa Riesgos'!$A$49),"")</f>
        <v/>
      </c>
      <c r="AC10" s="456"/>
      <c r="AD10" s="457" t="str">
        <f ca="1">IF(AND('Mapa Riesgos'!$I$55="Muy Alta",'Mapa Riesgos'!$M$55="Mayor"),CONCATENATE("R",'Mapa Riesgos'!$A$55),"")</f>
        <v/>
      </c>
      <c r="AE10" s="457"/>
      <c r="AF10" s="457" t="str">
        <f ca="1">IF(AND('Mapa Riesgos'!$I$61="Muy Alta",'Mapa Riesgos'!$M$61="Mayor"),CONCATENATE("R",'Mapa Riesgos'!$A$61),"")</f>
        <v/>
      </c>
      <c r="AG10" s="458"/>
      <c r="AH10" s="446" t="str">
        <f ca="1">IF(AND('Mapa Riesgos'!$I$49="Muy Alta",'Mapa Riesgos'!$M$49="Catastrófico"),CONCATENATE("R",'Mapa Riesgos'!$A$49),"")</f>
        <v/>
      </c>
      <c r="AI10" s="447"/>
      <c r="AJ10" s="447" t="str">
        <f ca="1">IF(AND('Mapa Riesgos'!$I$55="Muy Alta",'Mapa Riesgos'!$M$55="Catastrófico"),CONCATENATE("R",'Mapa Riesgos'!$A$55),"")</f>
        <v/>
      </c>
      <c r="AK10" s="447"/>
      <c r="AL10" s="447" t="str">
        <f ca="1">IF(AND('Mapa Riesgos'!$I$61="Muy Alta",'Mapa Riesgos'!$M$61="Catastrófico"),CONCATENATE("R",'Mapa Riesgos'!$A$61),"")</f>
        <v/>
      </c>
      <c r="AM10" s="448"/>
      <c r="AN10" s="76"/>
      <c r="AO10" s="482"/>
      <c r="AP10" s="483"/>
      <c r="AQ10" s="483"/>
      <c r="AR10" s="483"/>
      <c r="AS10" s="483"/>
      <c r="AT10" s="484"/>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c r="A11" s="76"/>
      <c r="B11" s="477"/>
      <c r="C11" s="477"/>
      <c r="D11" s="478"/>
      <c r="E11" s="469"/>
      <c r="F11" s="470"/>
      <c r="G11" s="470"/>
      <c r="H11" s="470"/>
      <c r="I11" s="471"/>
      <c r="J11" s="455"/>
      <c r="K11" s="456"/>
      <c r="L11" s="457"/>
      <c r="M11" s="457"/>
      <c r="N11" s="457"/>
      <c r="O11" s="458"/>
      <c r="P11" s="455"/>
      <c r="Q11" s="456"/>
      <c r="R11" s="457"/>
      <c r="S11" s="457"/>
      <c r="T11" s="457"/>
      <c r="U11" s="458"/>
      <c r="V11" s="455"/>
      <c r="W11" s="456"/>
      <c r="X11" s="457"/>
      <c r="Y11" s="457"/>
      <c r="Z11" s="457"/>
      <c r="AA11" s="458"/>
      <c r="AB11" s="455"/>
      <c r="AC11" s="456"/>
      <c r="AD11" s="457"/>
      <c r="AE11" s="457"/>
      <c r="AF11" s="457"/>
      <c r="AG11" s="458"/>
      <c r="AH11" s="446"/>
      <c r="AI11" s="447"/>
      <c r="AJ11" s="447"/>
      <c r="AK11" s="447"/>
      <c r="AL11" s="447"/>
      <c r="AM11" s="448"/>
      <c r="AN11" s="76"/>
      <c r="AO11" s="482"/>
      <c r="AP11" s="483"/>
      <c r="AQ11" s="483"/>
      <c r="AR11" s="483"/>
      <c r="AS11" s="483"/>
      <c r="AT11" s="484"/>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c r="A12" s="76"/>
      <c r="B12" s="477"/>
      <c r="C12" s="477"/>
      <c r="D12" s="478"/>
      <c r="E12" s="469"/>
      <c r="F12" s="470"/>
      <c r="G12" s="470"/>
      <c r="H12" s="470"/>
      <c r="I12" s="471"/>
      <c r="J12" s="455" t="str">
        <f>IF(AND('Mapa Riesgos'!$I$67="Muy Alta",'Mapa Riesgos'!$M$67="Leve"),CONCATENATE("R",'Mapa Riesgos'!$A$67),"")</f>
        <v/>
      </c>
      <c r="K12" s="456"/>
      <c r="L12" s="457" t="e">
        <f>IF(AND('Mapa Riesgos'!#REF!="Muy Alta",'Mapa Riesgos'!#REF!="Leve"),CONCATENATE("R",'Mapa Riesgos'!#REF!),"")</f>
        <v>#REF!</v>
      </c>
      <c r="M12" s="457"/>
      <c r="N12" s="457" t="str">
        <f>IF(AND('Mapa Riesgos'!$I$77="Muy Alta",'Mapa Riesgos'!$M$77="Leve"),CONCATENATE("R",'Mapa Riesgos'!$A$77),"")</f>
        <v/>
      </c>
      <c r="O12" s="458"/>
      <c r="P12" s="455" t="str">
        <f>IF(AND('Mapa Riesgos'!$I$67="Muy Alta",'Mapa Riesgos'!$M$67="Menor"),CONCATENATE("R",'Mapa Riesgos'!$A$67),"")</f>
        <v/>
      </c>
      <c r="Q12" s="456"/>
      <c r="R12" s="457" t="e">
        <f>IF(AND('Mapa Riesgos'!#REF!="Muy Alta",'Mapa Riesgos'!#REF!="Menor"),CONCATENATE("R",'Mapa Riesgos'!#REF!),"")</f>
        <v>#REF!</v>
      </c>
      <c r="S12" s="457"/>
      <c r="T12" s="457" t="str">
        <f>IF(AND('Mapa Riesgos'!$I$77="Muy Alta",'Mapa Riesgos'!$M$77="Menor"),CONCATENATE("R",'Mapa Riesgos'!$A$77),"")</f>
        <v/>
      </c>
      <c r="U12" s="458"/>
      <c r="V12" s="455" t="str">
        <f>IF(AND('Mapa Riesgos'!$I$67="Muy Alta",'Mapa Riesgos'!$M$67="Moderado"),CONCATENATE("R",'Mapa Riesgos'!$A$67),"")</f>
        <v/>
      </c>
      <c r="W12" s="456"/>
      <c r="X12" s="457" t="e">
        <f>IF(AND('Mapa Riesgos'!#REF!="Muy Alta",'Mapa Riesgos'!#REF!="Moderado"),CONCATENATE("R",'Mapa Riesgos'!#REF!),"")</f>
        <v>#REF!</v>
      </c>
      <c r="Y12" s="457"/>
      <c r="Z12" s="457" t="str">
        <f>IF(AND('Mapa Riesgos'!$I$77="Muy Alta",'Mapa Riesgos'!$M$77="Moderado"),CONCATENATE("R",'Mapa Riesgos'!$A$77),"")</f>
        <v/>
      </c>
      <c r="AA12" s="458"/>
      <c r="AB12" s="455" t="str">
        <f>IF(AND('Mapa Riesgos'!$I$67="Muy Alta",'Mapa Riesgos'!$M$67="Mayor"),CONCATENATE("R",'Mapa Riesgos'!$A$67),"")</f>
        <v/>
      </c>
      <c r="AC12" s="456"/>
      <c r="AD12" s="457" t="e">
        <f>IF(AND('Mapa Riesgos'!#REF!="Muy Alta",'Mapa Riesgos'!#REF!="Mayor"),CONCATENATE("R",'Mapa Riesgos'!#REF!),"")</f>
        <v>#REF!</v>
      </c>
      <c r="AE12" s="457"/>
      <c r="AF12" s="457" t="str">
        <f>IF(AND('Mapa Riesgos'!$I$77="Muy Alta",'Mapa Riesgos'!$M$77="Mayor"),CONCATENATE("R",'Mapa Riesgos'!$A$77),"")</f>
        <v/>
      </c>
      <c r="AG12" s="458"/>
      <c r="AH12" s="446" t="str">
        <f>IF(AND('Mapa Riesgos'!$I$67="Muy Alta",'Mapa Riesgos'!$M$67="Catastrófico"),CONCATENATE("R",'Mapa Riesgos'!$A$67),"")</f>
        <v/>
      </c>
      <c r="AI12" s="447"/>
      <c r="AJ12" s="447" t="e">
        <f>IF(AND('Mapa Riesgos'!#REF!="Muy Alta",'Mapa Riesgos'!#REF!="Catastrófico"),CONCATENATE("R",'Mapa Riesgos'!#REF!),"")</f>
        <v>#REF!</v>
      </c>
      <c r="AK12" s="447"/>
      <c r="AL12" s="447" t="str">
        <f>IF(AND('Mapa Riesgos'!$I$77="Muy Alta",'Mapa Riesgos'!$M$77="Catastrófico"),CONCATENATE("R",'Mapa Riesgos'!$A$77),"")</f>
        <v/>
      </c>
      <c r="AM12" s="448"/>
      <c r="AN12" s="76"/>
      <c r="AO12" s="482"/>
      <c r="AP12" s="483"/>
      <c r="AQ12" s="483"/>
      <c r="AR12" s="483"/>
      <c r="AS12" s="483"/>
      <c r="AT12" s="484"/>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c r="A13" s="76"/>
      <c r="B13" s="477"/>
      <c r="C13" s="477"/>
      <c r="D13" s="478"/>
      <c r="E13" s="472"/>
      <c r="F13" s="473"/>
      <c r="G13" s="473"/>
      <c r="H13" s="473"/>
      <c r="I13" s="474"/>
      <c r="J13" s="455"/>
      <c r="K13" s="456"/>
      <c r="L13" s="456"/>
      <c r="M13" s="456"/>
      <c r="N13" s="456"/>
      <c r="O13" s="458"/>
      <c r="P13" s="455"/>
      <c r="Q13" s="456"/>
      <c r="R13" s="456"/>
      <c r="S13" s="456"/>
      <c r="T13" s="456"/>
      <c r="U13" s="458"/>
      <c r="V13" s="455"/>
      <c r="W13" s="456"/>
      <c r="X13" s="456"/>
      <c r="Y13" s="456"/>
      <c r="Z13" s="456"/>
      <c r="AA13" s="458"/>
      <c r="AB13" s="455"/>
      <c r="AC13" s="456"/>
      <c r="AD13" s="456"/>
      <c r="AE13" s="456"/>
      <c r="AF13" s="456"/>
      <c r="AG13" s="458"/>
      <c r="AH13" s="449"/>
      <c r="AI13" s="450"/>
      <c r="AJ13" s="450"/>
      <c r="AK13" s="450"/>
      <c r="AL13" s="450"/>
      <c r="AM13" s="451"/>
      <c r="AN13" s="76"/>
      <c r="AO13" s="485"/>
      <c r="AP13" s="486"/>
      <c r="AQ13" s="486"/>
      <c r="AR13" s="486"/>
      <c r="AS13" s="486"/>
      <c r="AT13" s="487"/>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c r="A14" s="76"/>
      <c r="B14" s="477"/>
      <c r="C14" s="477"/>
      <c r="D14" s="478"/>
      <c r="E14" s="466" t="s">
        <v>107</v>
      </c>
      <c r="F14" s="467"/>
      <c r="G14" s="467"/>
      <c r="H14" s="467"/>
      <c r="I14" s="467"/>
      <c r="J14" s="443" t="str">
        <f ca="1">IF(AND('Mapa Riesgos'!$I$13="Alta",'Mapa Riesgos'!$M$13="Leve"),CONCATENATE("R",'Mapa Riesgos'!$A$13),"")</f>
        <v/>
      </c>
      <c r="K14" s="444"/>
      <c r="L14" s="444" t="str">
        <f ca="1">IF(AND('Mapa Riesgos'!$I$19="Alta",'Mapa Riesgos'!$M$19="Leve"),CONCATENATE("R",'Mapa Riesgos'!$A$19),"")</f>
        <v/>
      </c>
      <c r="M14" s="444"/>
      <c r="N14" s="444" t="str">
        <f ca="1">IF(AND('Mapa Riesgos'!$I$25="Alta",'Mapa Riesgos'!$M$25="Leve"),CONCATENATE("R",'Mapa Riesgos'!$A$25),"")</f>
        <v/>
      </c>
      <c r="O14" s="445"/>
      <c r="P14" s="443" t="str">
        <f ca="1">IF(AND('Mapa Riesgos'!$I$13="Alta",'Mapa Riesgos'!$M$13="Menor"),CONCATENATE("R",'Mapa Riesgos'!$A$13),"")</f>
        <v/>
      </c>
      <c r="Q14" s="444"/>
      <c r="R14" s="444" t="str">
        <f ca="1">IF(AND('Mapa Riesgos'!$I$19="Alta",'Mapa Riesgos'!$M$19="Menor"),CONCATENATE("R",'Mapa Riesgos'!$A$19),"")</f>
        <v/>
      </c>
      <c r="S14" s="444"/>
      <c r="T14" s="444" t="str">
        <f ca="1">IF(AND('Mapa Riesgos'!$I$25="Alta",'Mapa Riesgos'!$M$25="Menor"),CONCATENATE("R",'Mapa Riesgos'!$A$25),"")</f>
        <v/>
      </c>
      <c r="U14" s="445"/>
      <c r="V14" s="462" t="str">
        <f ca="1">IF(AND('Mapa Riesgos'!$I$13="Alta",'Mapa Riesgos'!$M$13="Moderado"),CONCATENATE("R",'Mapa Riesgos'!$A$13),"")</f>
        <v/>
      </c>
      <c r="W14" s="463"/>
      <c r="X14" s="463" t="str">
        <f ca="1">IF(AND('Mapa Riesgos'!$I$19="Alta",'Mapa Riesgos'!$M$19="Moderado"),CONCATENATE("R",'Mapa Riesgos'!$A$19),"")</f>
        <v/>
      </c>
      <c r="Y14" s="463"/>
      <c r="Z14" s="463" t="str">
        <f ca="1">IF(AND('Mapa Riesgos'!$I$25="Alta",'Mapa Riesgos'!$M$25="Moderado"),CONCATENATE("R",'Mapa Riesgos'!$A$25),"")</f>
        <v/>
      </c>
      <c r="AA14" s="464"/>
      <c r="AB14" s="462" t="str">
        <f ca="1">IF(AND('Mapa Riesgos'!$I$13="Alta",'Mapa Riesgos'!$M$13="Mayor"),CONCATENATE("R",'Mapa Riesgos'!$A$13),"")</f>
        <v/>
      </c>
      <c r="AC14" s="463"/>
      <c r="AD14" s="463" t="str">
        <f ca="1">IF(AND('Mapa Riesgos'!$I$19="Alta",'Mapa Riesgos'!$M$19="Mayor"),CONCATENATE("R",'Mapa Riesgos'!$A$19),"")</f>
        <v/>
      </c>
      <c r="AE14" s="463"/>
      <c r="AF14" s="463" t="str">
        <f ca="1">IF(AND('Mapa Riesgos'!$I$25="Alta",'Mapa Riesgos'!$M$25="Mayor"),CONCATENATE("R",'Mapa Riesgos'!$A$25),"")</f>
        <v/>
      </c>
      <c r="AG14" s="464"/>
      <c r="AH14" s="452" t="str">
        <f ca="1">IF(AND('Mapa Riesgos'!$I$13="Alta",'Mapa Riesgos'!$M$13="Catastrófico"),CONCATENATE("R",'Mapa Riesgos'!$A$13),"")</f>
        <v/>
      </c>
      <c r="AI14" s="453"/>
      <c r="AJ14" s="453" t="str">
        <f ca="1">IF(AND('Mapa Riesgos'!$I$19="Alta",'Mapa Riesgos'!$M$19="Catastrófico"),CONCATENATE("R",'Mapa Riesgos'!$A$19),"")</f>
        <v/>
      </c>
      <c r="AK14" s="453"/>
      <c r="AL14" s="453" t="str">
        <f ca="1">IF(AND('Mapa Riesgos'!$I$25="Alta",'Mapa Riesgos'!$M$25="Catastrófico"),CONCATENATE("R",'Mapa Riesgos'!$A$25),"")</f>
        <v/>
      </c>
      <c r="AM14" s="454"/>
      <c r="AN14" s="76"/>
      <c r="AO14" s="488" t="s">
        <v>76</v>
      </c>
      <c r="AP14" s="489"/>
      <c r="AQ14" s="489"/>
      <c r="AR14" s="489"/>
      <c r="AS14" s="489"/>
      <c r="AT14" s="490"/>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c r="A15" s="76"/>
      <c r="B15" s="477"/>
      <c r="C15" s="477"/>
      <c r="D15" s="478"/>
      <c r="E15" s="469"/>
      <c r="F15" s="470"/>
      <c r="G15" s="470"/>
      <c r="H15" s="470"/>
      <c r="I15" s="475"/>
      <c r="J15" s="437"/>
      <c r="K15" s="438"/>
      <c r="L15" s="438"/>
      <c r="M15" s="438"/>
      <c r="N15" s="438"/>
      <c r="O15" s="439"/>
      <c r="P15" s="437"/>
      <c r="Q15" s="438"/>
      <c r="R15" s="438"/>
      <c r="S15" s="438"/>
      <c r="T15" s="438"/>
      <c r="U15" s="439"/>
      <c r="V15" s="455"/>
      <c r="W15" s="456"/>
      <c r="X15" s="456"/>
      <c r="Y15" s="456"/>
      <c r="Z15" s="456"/>
      <c r="AA15" s="458"/>
      <c r="AB15" s="455"/>
      <c r="AC15" s="456"/>
      <c r="AD15" s="456"/>
      <c r="AE15" s="456"/>
      <c r="AF15" s="456"/>
      <c r="AG15" s="458"/>
      <c r="AH15" s="446"/>
      <c r="AI15" s="447"/>
      <c r="AJ15" s="447"/>
      <c r="AK15" s="447"/>
      <c r="AL15" s="447"/>
      <c r="AM15" s="448"/>
      <c r="AN15" s="76"/>
      <c r="AO15" s="491"/>
      <c r="AP15" s="492"/>
      <c r="AQ15" s="492"/>
      <c r="AR15" s="492"/>
      <c r="AS15" s="492"/>
      <c r="AT15" s="493"/>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c r="A16" s="76"/>
      <c r="B16" s="477"/>
      <c r="C16" s="477"/>
      <c r="D16" s="478"/>
      <c r="E16" s="469"/>
      <c r="F16" s="470"/>
      <c r="G16" s="470"/>
      <c r="H16" s="470"/>
      <c r="I16" s="475"/>
      <c r="J16" s="437" t="str">
        <f ca="1">IF(AND('Mapa Riesgos'!$I$31="Alta",'Mapa Riesgos'!$M$31="Leve"),CONCATENATE("R",'Mapa Riesgos'!$A$31),"")</f>
        <v/>
      </c>
      <c r="K16" s="438"/>
      <c r="L16" s="438" t="str">
        <f ca="1">IF(AND('Mapa Riesgos'!$I$37="Alta",'Mapa Riesgos'!$M$37="Leve"),CONCATENATE("R",'Mapa Riesgos'!$A$37),"")</f>
        <v/>
      </c>
      <c r="M16" s="438"/>
      <c r="N16" s="438" t="str">
        <f ca="1">IF(AND('Mapa Riesgos'!$I$43="Alta",'Mapa Riesgos'!$M$43="Leve"),CONCATENATE("R",'Mapa Riesgos'!$A$43),"")</f>
        <v/>
      </c>
      <c r="O16" s="439"/>
      <c r="P16" s="437" t="str">
        <f ca="1">IF(AND('Mapa Riesgos'!$I$31="Alta",'Mapa Riesgos'!$M$31="Menor"),CONCATENATE("R",'Mapa Riesgos'!$A$31),"")</f>
        <v/>
      </c>
      <c r="Q16" s="438"/>
      <c r="R16" s="438" t="str">
        <f ca="1">IF(AND('Mapa Riesgos'!$I$37="Alta",'Mapa Riesgos'!$M$37="Menor"),CONCATENATE("R",'Mapa Riesgos'!$A$37),"")</f>
        <v/>
      </c>
      <c r="S16" s="438"/>
      <c r="T16" s="438" t="str">
        <f ca="1">IF(AND('Mapa Riesgos'!$I$43="Alta",'Mapa Riesgos'!$M$43="Menor"),CONCATENATE("R",'Mapa Riesgos'!$A$43),"")</f>
        <v/>
      </c>
      <c r="U16" s="439"/>
      <c r="V16" s="455" t="str">
        <f ca="1">IF(AND('Mapa Riesgos'!$I$31="Alta",'Mapa Riesgos'!$M$31="Moderado"),CONCATENATE("R",'Mapa Riesgos'!$A$31),"")</f>
        <v/>
      </c>
      <c r="W16" s="456"/>
      <c r="X16" s="457" t="str">
        <f ca="1">IF(AND('Mapa Riesgos'!$I$37="Alta",'Mapa Riesgos'!$M$37="Moderado"),CONCATENATE("R",'Mapa Riesgos'!$A$37),"")</f>
        <v/>
      </c>
      <c r="Y16" s="457"/>
      <c r="Z16" s="457" t="str">
        <f ca="1">IF(AND('Mapa Riesgos'!$I$43="Alta",'Mapa Riesgos'!$M$43="Moderado"),CONCATENATE("R",'Mapa Riesgos'!$A$43),"")</f>
        <v/>
      </c>
      <c r="AA16" s="458"/>
      <c r="AB16" s="455" t="str">
        <f ca="1">IF(AND('Mapa Riesgos'!$I$31="Alta",'Mapa Riesgos'!$M$31="Mayor"),CONCATENATE("R",'Mapa Riesgos'!$A$31),"")</f>
        <v/>
      </c>
      <c r="AC16" s="456"/>
      <c r="AD16" s="457" t="str">
        <f ca="1">IF(AND('Mapa Riesgos'!$I$37="Alta",'Mapa Riesgos'!$M$37="Mayor"),CONCATENATE("R",'Mapa Riesgos'!$A$37),"")</f>
        <v/>
      </c>
      <c r="AE16" s="457"/>
      <c r="AF16" s="457" t="str">
        <f ca="1">IF(AND('Mapa Riesgos'!$I$43="Alta",'Mapa Riesgos'!$M$43="Mayor"),CONCATENATE("R",'Mapa Riesgos'!$A$43),"")</f>
        <v/>
      </c>
      <c r="AG16" s="458"/>
      <c r="AH16" s="446" t="str">
        <f ca="1">IF(AND('Mapa Riesgos'!$I$31="Alta",'Mapa Riesgos'!$M$31="Catastrófico"),CONCATENATE("R",'Mapa Riesgos'!$A$31),"")</f>
        <v/>
      </c>
      <c r="AI16" s="447"/>
      <c r="AJ16" s="447" t="str">
        <f ca="1">IF(AND('Mapa Riesgos'!$I$37="Alta",'Mapa Riesgos'!$M$37="Catastrófico"),CONCATENATE("R",'Mapa Riesgos'!$A$37),"")</f>
        <v/>
      </c>
      <c r="AK16" s="447"/>
      <c r="AL16" s="447" t="str">
        <f ca="1">IF(AND('Mapa Riesgos'!$I$43="Alta",'Mapa Riesgos'!$M$43="Catastrófico"),CONCATENATE("R",'Mapa Riesgos'!$A$43),"")</f>
        <v/>
      </c>
      <c r="AM16" s="448"/>
      <c r="AN16" s="76"/>
      <c r="AO16" s="491"/>
      <c r="AP16" s="492"/>
      <c r="AQ16" s="492"/>
      <c r="AR16" s="492"/>
      <c r="AS16" s="492"/>
      <c r="AT16" s="493"/>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c r="A17" s="76"/>
      <c r="B17" s="477"/>
      <c r="C17" s="477"/>
      <c r="D17" s="478"/>
      <c r="E17" s="469"/>
      <c r="F17" s="470"/>
      <c r="G17" s="470"/>
      <c r="H17" s="470"/>
      <c r="I17" s="475"/>
      <c r="J17" s="437"/>
      <c r="K17" s="438"/>
      <c r="L17" s="438"/>
      <c r="M17" s="438"/>
      <c r="N17" s="438"/>
      <c r="O17" s="439"/>
      <c r="P17" s="437"/>
      <c r="Q17" s="438"/>
      <c r="R17" s="438"/>
      <c r="S17" s="438"/>
      <c r="T17" s="438"/>
      <c r="U17" s="439"/>
      <c r="V17" s="455"/>
      <c r="W17" s="456"/>
      <c r="X17" s="457"/>
      <c r="Y17" s="457"/>
      <c r="Z17" s="457"/>
      <c r="AA17" s="458"/>
      <c r="AB17" s="455"/>
      <c r="AC17" s="456"/>
      <c r="AD17" s="457"/>
      <c r="AE17" s="457"/>
      <c r="AF17" s="457"/>
      <c r="AG17" s="458"/>
      <c r="AH17" s="446"/>
      <c r="AI17" s="447"/>
      <c r="AJ17" s="447"/>
      <c r="AK17" s="447"/>
      <c r="AL17" s="447"/>
      <c r="AM17" s="448"/>
      <c r="AN17" s="76"/>
      <c r="AO17" s="491"/>
      <c r="AP17" s="492"/>
      <c r="AQ17" s="492"/>
      <c r="AR17" s="492"/>
      <c r="AS17" s="492"/>
      <c r="AT17" s="493"/>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c r="A18" s="76"/>
      <c r="B18" s="477"/>
      <c r="C18" s="477"/>
      <c r="D18" s="478"/>
      <c r="E18" s="469"/>
      <c r="F18" s="470"/>
      <c r="G18" s="470"/>
      <c r="H18" s="470"/>
      <c r="I18" s="475"/>
      <c r="J18" s="437" t="str">
        <f ca="1">IF(AND('Mapa Riesgos'!$I$49="Alta",'Mapa Riesgos'!$M$49="Leve"),CONCATENATE("R",'Mapa Riesgos'!$A$49),"")</f>
        <v/>
      </c>
      <c r="K18" s="438"/>
      <c r="L18" s="438" t="str">
        <f ca="1">IF(AND('Mapa Riesgos'!$I$55="Alta",'Mapa Riesgos'!$M$55="Leve"),CONCATENATE("R",'Mapa Riesgos'!$A$55),"")</f>
        <v/>
      </c>
      <c r="M18" s="438"/>
      <c r="N18" s="438" t="str">
        <f ca="1">IF(AND('Mapa Riesgos'!$I$61="Alta",'Mapa Riesgos'!$M$61="Leve"),CONCATENATE("R",'Mapa Riesgos'!$A$61),"")</f>
        <v/>
      </c>
      <c r="O18" s="439"/>
      <c r="P18" s="437" t="str">
        <f ca="1">IF(AND('Mapa Riesgos'!$I$49="Alta",'Mapa Riesgos'!$M$49="Menor"),CONCATENATE("R",'Mapa Riesgos'!$A$49),"")</f>
        <v/>
      </c>
      <c r="Q18" s="438"/>
      <c r="R18" s="438" t="str">
        <f ca="1">IF(AND('Mapa Riesgos'!$I$55="Alta",'Mapa Riesgos'!$M$55="Menor"),CONCATENATE("R",'Mapa Riesgos'!$A$55),"")</f>
        <v/>
      </c>
      <c r="S18" s="438"/>
      <c r="T18" s="438" t="str">
        <f ca="1">IF(AND('Mapa Riesgos'!$I$61="Alta",'Mapa Riesgos'!$M$61="Menor"),CONCATENATE("R",'Mapa Riesgos'!$A$61),"")</f>
        <v/>
      </c>
      <c r="U18" s="439"/>
      <c r="V18" s="455" t="str">
        <f ca="1">IF(AND('Mapa Riesgos'!$I$49="Alta",'Mapa Riesgos'!$M$49="Moderado"),CONCATENATE("R",'Mapa Riesgos'!$A$49),"")</f>
        <v/>
      </c>
      <c r="W18" s="456"/>
      <c r="X18" s="457" t="str">
        <f ca="1">IF(AND('Mapa Riesgos'!$I$55="Alta",'Mapa Riesgos'!$M$55="Moderado"),CONCATENATE("R",'Mapa Riesgos'!$A$55),"")</f>
        <v/>
      </c>
      <c r="Y18" s="457"/>
      <c r="Z18" s="457" t="str">
        <f ca="1">IF(AND('Mapa Riesgos'!$I$61="Alta",'Mapa Riesgos'!$M$61="Moderado"),CONCATENATE("R",'Mapa Riesgos'!$A$61),"")</f>
        <v/>
      </c>
      <c r="AA18" s="458"/>
      <c r="AB18" s="455" t="str">
        <f ca="1">IF(AND('Mapa Riesgos'!$I$49="Alta",'Mapa Riesgos'!$M$49="Mayor"),CONCATENATE("R",'Mapa Riesgos'!$A$49),"")</f>
        <v/>
      </c>
      <c r="AC18" s="456"/>
      <c r="AD18" s="457" t="str">
        <f ca="1">IF(AND('Mapa Riesgos'!$I$55="Alta",'Mapa Riesgos'!$M$55="Mayor"),CONCATENATE("R",'Mapa Riesgos'!$A$55),"")</f>
        <v/>
      </c>
      <c r="AE18" s="457"/>
      <c r="AF18" s="457" t="str">
        <f ca="1">IF(AND('Mapa Riesgos'!$I$61="Alta",'Mapa Riesgos'!$M$61="Mayor"),CONCATENATE("R",'Mapa Riesgos'!$A$61),"")</f>
        <v/>
      </c>
      <c r="AG18" s="458"/>
      <c r="AH18" s="446" t="str">
        <f ca="1">IF(AND('Mapa Riesgos'!$I$49="Alta",'Mapa Riesgos'!$M$49="Catastrófico"),CONCATENATE("R",'Mapa Riesgos'!$A$49),"")</f>
        <v/>
      </c>
      <c r="AI18" s="447"/>
      <c r="AJ18" s="447" t="str">
        <f ca="1">IF(AND('Mapa Riesgos'!$I$55="Alta",'Mapa Riesgos'!$M$55="Catastrófico"),CONCATENATE("R",'Mapa Riesgos'!$A$55),"")</f>
        <v/>
      </c>
      <c r="AK18" s="447"/>
      <c r="AL18" s="447" t="str">
        <f ca="1">IF(AND('Mapa Riesgos'!$I$61="Alta",'Mapa Riesgos'!$M$61="Catastrófico"),CONCATENATE("R",'Mapa Riesgos'!$A$61),"")</f>
        <v/>
      </c>
      <c r="AM18" s="448"/>
      <c r="AN18" s="76"/>
      <c r="AO18" s="491"/>
      <c r="AP18" s="492"/>
      <c r="AQ18" s="492"/>
      <c r="AR18" s="492"/>
      <c r="AS18" s="492"/>
      <c r="AT18" s="493"/>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c r="A19" s="76"/>
      <c r="B19" s="477"/>
      <c r="C19" s="477"/>
      <c r="D19" s="478"/>
      <c r="E19" s="469"/>
      <c r="F19" s="470"/>
      <c r="G19" s="470"/>
      <c r="H19" s="470"/>
      <c r="I19" s="475"/>
      <c r="J19" s="437"/>
      <c r="K19" s="438"/>
      <c r="L19" s="438"/>
      <c r="M19" s="438"/>
      <c r="N19" s="438"/>
      <c r="O19" s="439"/>
      <c r="P19" s="437"/>
      <c r="Q19" s="438"/>
      <c r="R19" s="438"/>
      <c r="S19" s="438"/>
      <c r="T19" s="438"/>
      <c r="U19" s="439"/>
      <c r="V19" s="455"/>
      <c r="W19" s="456"/>
      <c r="X19" s="457"/>
      <c r="Y19" s="457"/>
      <c r="Z19" s="457"/>
      <c r="AA19" s="458"/>
      <c r="AB19" s="455"/>
      <c r="AC19" s="456"/>
      <c r="AD19" s="457"/>
      <c r="AE19" s="457"/>
      <c r="AF19" s="457"/>
      <c r="AG19" s="458"/>
      <c r="AH19" s="446"/>
      <c r="AI19" s="447"/>
      <c r="AJ19" s="447"/>
      <c r="AK19" s="447"/>
      <c r="AL19" s="447"/>
      <c r="AM19" s="448"/>
      <c r="AN19" s="76"/>
      <c r="AO19" s="491"/>
      <c r="AP19" s="492"/>
      <c r="AQ19" s="492"/>
      <c r="AR19" s="492"/>
      <c r="AS19" s="492"/>
      <c r="AT19" s="493"/>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c r="A20" s="76"/>
      <c r="B20" s="477"/>
      <c r="C20" s="477"/>
      <c r="D20" s="478"/>
      <c r="E20" s="469"/>
      <c r="F20" s="470"/>
      <c r="G20" s="470"/>
      <c r="H20" s="470"/>
      <c r="I20" s="475"/>
      <c r="J20" s="437" t="str">
        <f>IF(AND('Mapa Riesgos'!$I$67="Alta",'Mapa Riesgos'!$M$67="Leve"),CONCATENATE("R",'Mapa Riesgos'!$A$67),"")</f>
        <v/>
      </c>
      <c r="K20" s="438"/>
      <c r="L20" s="438" t="e">
        <f>IF(AND('Mapa Riesgos'!#REF!="Alta",'Mapa Riesgos'!#REF!="Leve"),CONCATENATE("R",'Mapa Riesgos'!#REF!),"")</f>
        <v>#REF!</v>
      </c>
      <c r="M20" s="438"/>
      <c r="N20" s="438" t="str">
        <f>IF(AND('Mapa Riesgos'!$I$77="Alta",'Mapa Riesgos'!$M$77="Leve"),CONCATENATE("R",'Mapa Riesgos'!$A$77),"")</f>
        <v/>
      </c>
      <c r="O20" s="439"/>
      <c r="P20" s="437" t="str">
        <f>IF(AND('Mapa Riesgos'!$I$67="Alta",'Mapa Riesgos'!$M$67="Menor"),CONCATENATE("R",'Mapa Riesgos'!$A$67),"")</f>
        <v/>
      </c>
      <c r="Q20" s="438"/>
      <c r="R20" s="438" t="e">
        <f>IF(AND('Mapa Riesgos'!#REF!="Alta",'Mapa Riesgos'!#REF!="Menor"),CONCATENATE("R",'Mapa Riesgos'!#REF!),"")</f>
        <v>#REF!</v>
      </c>
      <c r="S20" s="438"/>
      <c r="T20" s="438" t="str">
        <f>IF(AND('Mapa Riesgos'!$I$77="Alta",'Mapa Riesgos'!$M$77="Menor"),CONCATENATE("R",'Mapa Riesgos'!$A$77),"")</f>
        <v/>
      </c>
      <c r="U20" s="439"/>
      <c r="V20" s="455" t="str">
        <f>IF(AND('Mapa Riesgos'!$I$67="Alta",'Mapa Riesgos'!$M$67="Moderado"),CONCATENATE("R",'Mapa Riesgos'!$A$67),"")</f>
        <v>R10</v>
      </c>
      <c r="W20" s="456"/>
      <c r="X20" s="457" t="e">
        <f>IF(AND('Mapa Riesgos'!#REF!="Alta",'Mapa Riesgos'!#REF!="Moderado"),CONCATENATE("R",'Mapa Riesgos'!#REF!),"")</f>
        <v>#REF!</v>
      </c>
      <c r="Y20" s="457"/>
      <c r="Z20" s="457" t="str">
        <f>IF(AND('Mapa Riesgos'!$I$77="Alta",'Mapa Riesgos'!$M$77="Moderado"),CONCATENATE("R",'Mapa Riesgos'!$A$77),"")</f>
        <v/>
      </c>
      <c r="AA20" s="458"/>
      <c r="AB20" s="455" t="str">
        <f>IF(AND('Mapa Riesgos'!$I$67="Alta",'Mapa Riesgos'!$M$67="Mayor"),CONCATENATE("R",'Mapa Riesgos'!$A$67),"")</f>
        <v/>
      </c>
      <c r="AC20" s="456"/>
      <c r="AD20" s="457" t="e">
        <f>IF(AND('Mapa Riesgos'!#REF!="Alta",'Mapa Riesgos'!#REF!="Mayor"),CONCATENATE("R",'Mapa Riesgos'!#REF!),"")</f>
        <v>#REF!</v>
      </c>
      <c r="AE20" s="457"/>
      <c r="AF20" s="457" t="str">
        <f>IF(AND('Mapa Riesgos'!$I$77="Alta",'Mapa Riesgos'!$M$77="Mayor"),CONCATENATE("R",'Mapa Riesgos'!$A$77),"")</f>
        <v/>
      </c>
      <c r="AG20" s="458"/>
      <c r="AH20" s="446" t="str">
        <f>IF(AND('Mapa Riesgos'!$I$67="Alta",'Mapa Riesgos'!$M$67="Catastrófico"),CONCATENATE("R",'Mapa Riesgos'!$A$67),"")</f>
        <v/>
      </c>
      <c r="AI20" s="447"/>
      <c r="AJ20" s="447" t="e">
        <f>IF(AND('Mapa Riesgos'!#REF!="Alta",'Mapa Riesgos'!#REF!="Catastrófico"),CONCATENATE("R",'Mapa Riesgos'!#REF!),"")</f>
        <v>#REF!</v>
      </c>
      <c r="AK20" s="447"/>
      <c r="AL20" s="447" t="str">
        <f>IF(AND('Mapa Riesgos'!$I$77="Alta",'Mapa Riesgos'!$M$77="Catastrófico"),CONCATENATE("R",'Mapa Riesgos'!$A$77),"")</f>
        <v/>
      </c>
      <c r="AM20" s="448"/>
      <c r="AN20" s="76"/>
      <c r="AO20" s="491"/>
      <c r="AP20" s="492"/>
      <c r="AQ20" s="492"/>
      <c r="AR20" s="492"/>
      <c r="AS20" s="492"/>
      <c r="AT20" s="493"/>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c r="A21" s="76"/>
      <c r="B21" s="477"/>
      <c r="C21" s="477"/>
      <c r="D21" s="478"/>
      <c r="E21" s="472"/>
      <c r="F21" s="473"/>
      <c r="G21" s="473"/>
      <c r="H21" s="473"/>
      <c r="I21" s="473"/>
      <c r="J21" s="440"/>
      <c r="K21" s="441"/>
      <c r="L21" s="441"/>
      <c r="M21" s="441"/>
      <c r="N21" s="441"/>
      <c r="O21" s="442"/>
      <c r="P21" s="440"/>
      <c r="Q21" s="441"/>
      <c r="R21" s="441"/>
      <c r="S21" s="441"/>
      <c r="T21" s="441"/>
      <c r="U21" s="442"/>
      <c r="V21" s="459"/>
      <c r="W21" s="460"/>
      <c r="X21" s="460"/>
      <c r="Y21" s="460"/>
      <c r="Z21" s="460"/>
      <c r="AA21" s="461"/>
      <c r="AB21" s="459"/>
      <c r="AC21" s="460"/>
      <c r="AD21" s="460"/>
      <c r="AE21" s="460"/>
      <c r="AF21" s="460"/>
      <c r="AG21" s="461"/>
      <c r="AH21" s="449"/>
      <c r="AI21" s="450"/>
      <c r="AJ21" s="450"/>
      <c r="AK21" s="450"/>
      <c r="AL21" s="450"/>
      <c r="AM21" s="451"/>
      <c r="AN21" s="76"/>
      <c r="AO21" s="494"/>
      <c r="AP21" s="495"/>
      <c r="AQ21" s="495"/>
      <c r="AR21" s="495"/>
      <c r="AS21" s="495"/>
      <c r="AT21" s="49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c r="A22" s="76"/>
      <c r="B22" s="477"/>
      <c r="C22" s="477"/>
      <c r="D22" s="478"/>
      <c r="E22" s="466" t="s">
        <v>109</v>
      </c>
      <c r="F22" s="467"/>
      <c r="G22" s="467"/>
      <c r="H22" s="467"/>
      <c r="I22" s="468"/>
      <c r="J22" s="443" t="str">
        <f ca="1">IF(AND('Mapa Riesgos'!$I$13="Media",'Mapa Riesgos'!$M$13="Leve"),CONCATENATE("R",'Mapa Riesgos'!$A$13),"")</f>
        <v/>
      </c>
      <c r="K22" s="444"/>
      <c r="L22" s="444" t="str">
        <f ca="1">IF(AND('Mapa Riesgos'!$I$19="Media",'Mapa Riesgos'!$M$19="Leve"),CONCATENATE("R",'Mapa Riesgos'!$A$19),"")</f>
        <v/>
      </c>
      <c r="M22" s="444"/>
      <c r="N22" s="444" t="str">
        <f ca="1">IF(AND('Mapa Riesgos'!$I$25="Media",'Mapa Riesgos'!$M$25="Leve"),CONCATENATE("R",'Mapa Riesgos'!$A$25),"")</f>
        <v/>
      </c>
      <c r="O22" s="445"/>
      <c r="P22" s="443" t="str">
        <f ca="1">IF(AND('Mapa Riesgos'!$I$13="Media",'Mapa Riesgos'!$M$13="Menor"),CONCATENATE("R",'Mapa Riesgos'!$A$13),"")</f>
        <v/>
      </c>
      <c r="Q22" s="444"/>
      <c r="R22" s="444" t="str">
        <f ca="1">IF(AND('Mapa Riesgos'!$I$19="Media",'Mapa Riesgos'!$M$19="Menor"),CONCATENATE("R",'Mapa Riesgos'!$A$19),"")</f>
        <v/>
      </c>
      <c r="S22" s="444"/>
      <c r="T22" s="444" t="str">
        <f ca="1">IF(AND('Mapa Riesgos'!$I$25="Media",'Mapa Riesgos'!$M$25="Menor"),CONCATENATE("R",'Mapa Riesgos'!$A$25),"")</f>
        <v/>
      </c>
      <c r="U22" s="445"/>
      <c r="V22" s="443" t="str">
        <f ca="1">IF(AND('Mapa Riesgos'!$I$13="Media",'Mapa Riesgos'!$M$13="Moderado"),CONCATENATE("R",'Mapa Riesgos'!$A$13),"")</f>
        <v/>
      </c>
      <c r="W22" s="444"/>
      <c r="X22" s="444" t="str">
        <f ca="1">IF(AND('Mapa Riesgos'!$I$19="Media",'Mapa Riesgos'!$M$19="Moderado"),CONCATENATE("R",'Mapa Riesgos'!$A$19),"")</f>
        <v/>
      </c>
      <c r="Y22" s="444"/>
      <c r="Z22" s="444" t="str">
        <f ca="1">IF(AND('Mapa Riesgos'!$I$25="Media",'Mapa Riesgos'!$M$25="Moderado"),CONCATENATE("R",'Mapa Riesgos'!$A$25),"")</f>
        <v/>
      </c>
      <c r="AA22" s="445"/>
      <c r="AB22" s="462" t="str">
        <f ca="1">IF(AND('Mapa Riesgos'!$I$13="Media",'Mapa Riesgos'!$M$13="Mayor"),CONCATENATE("R",'Mapa Riesgos'!$A$13),"")</f>
        <v/>
      </c>
      <c r="AC22" s="463"/>
      <c r="AD22" s="463" t="str">
        <f ca="1">IF(AND('Mapa Riesgos'!$I$19="Media",'Mapa Riesgos'!$M$19="Mayor"),CONCATENATE("R",'Mapa Riesgos'!$A$19),"")</f>
        <v/>
      </c>
      <c r="AE22" s="463"/>
      <c r="AF22" s="463" t="str">
        <f ca="1">IF(AND('Mapa Riesgos'!$I$25="Media",'Mapa Riesgos'!$M$25="Mayor"),CONCATENATE("R",'Mapa Riesgos'!$A$25),"")</f>
        <v/>
      </c>
      <c r="AG22" s="464"/>
      <c r="AH22" s="452" t="str">
        <f ca="1">IF(AND('Mapa Riesgos'!$I$13="Media",'Mapa Riesgos'!$M$13="Catastrófico"),CONCATENATE("R",'Mapa Riesgos'!$A$13),"")</f>
        <v/>
      </c>
      <c r="AI22" s="453"/>
      <c r="AJ22" s="453" t="str">
        <f ca="1">IF(AND('Mapa Riesgos'!$I$19="Media",'Mapa Riesgos'!$M$19="Catastrófico"),CONCATENATE("R",'Mapa Riesgos'!$A$19),"")</f>
        <v/>
      </c>
      <c r="AK22" s="453"/>
      <c r="AL22" s="453" t="str">
        <f ca="1">IF(AND('Mapa Riesgos'!$I$25="Media",'Mapa Riesgos'!$M$25="Catastrófico"),CONCATENATE("R",'Mapa Riesgos'!$A$25),"")</f>
        <v/>
      </c>
      <c r="AM22" s="454"/>
      <c r="AN22" s="76"/>
      <c r="AO22" s="497" t="s">
        <v>77</v>
      </c>
      <c r="AP22" s="498"/>
      <c r="AQ22" s="498"/>
      <c r="AR22" s="498"/>
      <c r="AS22" s="498"/>
      <c r="AT22" s="499"/>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c r="A23" s="76"/>
      <c r="B23" s="477"/>
      <c r="C23" s="477"/>
      <c r="D23" s="478"/>
      <c r="E23" s="469"/>
      <c r="F23" s="470"/>
      <c r="G23" s="470"/>
      <c r="H23" s="470"/>
      <c r="I23" s="471"/>
      <c r="J23" s="437"/>
      <c r="K23" s="438"/>
      <c r="L23" s="438"/>
      <c r="M23" s="438"/>
      <c r="N23" s="438"/>
      <c r="O23" s="439"/>
      <c r="P23" s="437"/>
      <c r="Q23" s="438"/>
      <c r="R23" s="438"/>
      <c r="S23" s="438"/>
      <c r="T23" s="438"/>
      <c r="U23" s="439"/>
      <c r="V23" s="437"/>
      <c r="W23" s="438"/>
      <c r="X23" s="438"/>
      <c r="Y23" s="438"/>
      <c r="Z23" s="438"/>
      <c r="AA23" s="439"/>
      <c r="AB23" s="455"/>
      <c r="AC23" s="456"/>
      <c r="AD23" s="456"/>
      <c r="AE23" s="456"/>
      <c r="AF23" s="456"/>
      <c r="AG23" s="458"/>
      <c r="AH23" s="446"/>
      <c r="AI23" s="447"/>
      <c r="AJ23" s="447"/>
      <c r="AK23" s="447"/>
      <c r="AL23" s="447"/>
      <c r="AM23" s="448"/>
      <c r="AN23" s="76"/>
      <c r="AO23" s="500"/>
      <c r="AP23" s="501"/>
      <c r="AQ23" s="501"/>
      <c r="AR23" s="501"/>
      <c r="AS23" s="501"/>
      <c r="AT23" s="502"/>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c r="A24" s="76"/>
      <c r="B24" s="477"/>
      <c r="C24" s="477"/>
      <c r="D24" s="478"/>
      <c r="E24" s="469"/>
      <c r="F24" s="470"/>
      <c r="G24" s="470"/>
      <c r="H24" s="470"/>
      <c r="I24" s="471"/>
      <c r="J24" s="437" t="str">
        <f ca="1">IF(AND('Mapa Riesgos'!$I$31="Media",'Mapa Riesgos'!$M$31="Leve"),CONCATENATE("R",'Mapa Riesgos'!$A$31),"")</f>
        <v/>
      </c>
      <c r="K24" s="438"/>
      <c r="L24" s="438" t="str">
        <f ca="1">IF(AND('Mapa Riesgos'!$I$37="Media",'Mapa Riesgos'!$M$37="Leve"),CONCATENATE("R",'Mapa Riesgos'!$A$37),"")</f>
        <v/>
      </c>
      <c r="M24" s="438"/>
      <c r="N24" s="438" t="str">
        <f ca="1">IF(AND('Mapa Riesgos'!$I$43="Media",'Mapa Riesgos'!$M$43="Leve"),CONCATENATE("R",'Mapa Riesgos'!$A$43),"")</f>
        <v/>
      </c>
      <c r="O24" s="439"/>
      <c r="P24" s="437" t="str">
        <f ca="1">IF(AND('Mapa Riesgos'!$I$31="Media",'Mapa Riesgos'!$M$31="Menor"),CONCATENATE("R",'Mapa Riesgos'!$A$31),"")</f>
        <v/>
      </c>
      <c r="Q24" s="438"/>
      <c r="R24" s="438" t="str">
        <f ca="1">IF(AND('Mapa Riesgos'!$I$37="Media",'Mapa Riesgos'!$M$37="Menor"),CONCATENATE("R",'Mapa Riesgos'!$A$37),"")</f>
        <v/>
      </c>
      <c r="S24" s="438"/>
      <c r="T24" s="438" t="str">
        <f ca="1">IF(AND('Mapa Riesgos'!$I$43="Media",'Mapa Riesgos'!$M$43="Menor"),CONCATENATE("R",'Mapa Riesgos'!$A$43),"")</f>
        <v/>
      </c>
      <c r="U24" s="439"/>
      <c r="V24" s="437" t="str">
        <f ca="1">IF(AND('Mapa Riesgos'!$I$31="Media",'Mapa Riesgos'!$M$31="Moderado"),CONCATENATE("R",'Mapa Riesgos'!$A$31),"")</f>
        <v/>
      </c>
      <c r="W24" s="438"/>
      <c r="X24" s="438" t="str">
        <f ca="1">IF(AND('Mapa Riesgos'!$I$37="Media",'Mapa Riesgos'!$M$37="Moderado"),CONCATENATE("R",'Mapa Riesgos'!$A$37),"")</f>
        <v/>
      </c>
      <c r="Y24" s="438"/>
      <c r="Z24" s="438" t="str">
        <f ca="1">IF(AND('Mapa Riesgos'!$I$43="Media",'Mapa Riesgos'!$M$43="Moderado"),CONCATENATE("R",'Mapa Riesgos'!$A$43),"")</f>
        <v/>
      </c>
      <c r="AA24" s="439"/>
      <c r="AB24" s="455" t="str">
        <f ca="1">IF(AND('Mapa Riesgos'!$I$31="Media",'Mapa Riesgos'!$M$31="Mayor"),CONCATENATE("R",'Mapa Riesgos'!$A$31),"")</f>
        <v/>
      </c>
      <c r="AC24" s="456"/>
      <c r="AD24" s="457" t="str">
        <f ca="1">IF(AND('Mapa Riesgos'!$I$37="Media",'Mapa Riesgos'!$M$37="Mayor"),CONCATENATE("R",'Mapa Riesgos'!$A$37),"")</f>
        <v/>
      </c>
      <c r="AE24" s="457"/>
      <c r="AF24" s="457" t="str">
        <f ca="1">IF(AND('Mapa Riesgos'!$I$43="Media",'Mapa Riesgos'!$M$43="Mayor"),CONCATENATE("R",'Mapa Riesgos'!$A$43),"")</f>
        <v/>
      </c>
      <c r="AG24" s="458"/>
      <c r="AH24" s="446" t="str">
        <f ca="1">IF(AND('Mapa Riesgos'!$I$31="Media",'Mapa Riesgos'!$M$31="Catastrófico"),CONCATENATE("R",'Mapa Riesgos'!$A$31),"")</f>
        <v/>
      </c>
      <c r="AI24" s="447"/>
      <c r="AJ24" s="447" t="str">
        <f ca="1">IF(AND('Mapa Riesgos'!$I$37="Media",'Mapa Riesgos'!$M$37="Catastrófico"),CONCATENATE("R",'Mapa Riesgos'!$A$37),"")</f>
        <v/>
      </c>
      <c r="AK24" s="447"/>
      <c r="AL24" s="447" t="str">
        <f ca="1">IF(AND('Mapa Riesgos'!$I$43="Media",'Mapa Riesgos'!$M$43="Catastrófico"),CONCATENATE("R",'Mapa Riesgos'!$A$43),"")</f>
        <v/>
      </c>
      <c r="AM24" s="448"/>
      <c r="AN24" s="76"/>
      <c r="AO24" s="500"/>
      <c r="AP24" s="501"/>
      <c r="AQ24" s="501"/>
      <c r="AR24" s="501"/>
      <c r="AS24" s="501"/>
      <c r="AT24" s="502"/>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c r="A25" s="76"/>
      <c r="B25" s="477"/>
      <c r="C25" s="477"/>
      <c r="D25" s="478"/>
      <c r="E25" s="469"/>
      <c r="F25" s="470"/>
      <c r="G25" s="470"/>
      <c r="H25" s="470"/>
      <c r="I25" s="471"/>
      <c r="J25" s="437"/>
      <c r="K25" s="438"/>
      <c r="L25" s="438"/>
      <c r="M25" s="438"/>
      <c r="N25" s="438"/>
      <c r="O25" s="439"/>
      <c r="P25" s="437"/>
      <c r="Q25" s="438"/>
      <c r="R25" s="438"/>
      <c r="S25" s="438"/>
      <c r="T25" s="438"/>
      <c r="U25" s="439"/>
      <c r="V25" s="437"/>
      <c r="W25" s="438"/>
      <c r="X25" s="438"/>
      <c r="Y25" s="438"/>
      <c r="Z25" s="438"/>
      <c r="AA25" s="439"/>
      <c r="AB25" s="455"/>
      <c r="AC25" s="456"/>
      <c r="AD25" s="457"/>
      <c r="AE25" s="457"/>
      <c r="AF25" s="457"/>
      <c r="AG25" s="458"/>
      <c r="AH25" s="446"/>
      <c r="AI25" s="447"/>
      <c r="AJ25" s="447"/>
      <c r="AK25" s="447"/>
      <c r="AL25" s="447"/>
      <c r="AM25" s="448"/>
      <c r="AN25" s="76"/>
      <c r="AO25" s="500"/>
      <c r="AP25" s="501"/>
      <c r="AQ25" s="501"/>
      <c r="AR25" s="501"/>
      <c r="AS25" s="501"/>
      <c r="AT25" s="502"/>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c r="A26" s="76"/>
      <c r="B26" s="477"/>
      <c r="C26" s="477"/>
      <c r="D26" s="478"/>
      <c r="E26" s="469"/>
      <c r="F26" s="470"/>
      <c r="G26" s="470"/>
      <c r="H26" s="470"/>
      <c r="I26" s="471"/>
      <c r="J26" s="437" t="str">
        <f ca="1">IF(AND('Mapa Riesgos'!$I$49="Media",'Mapa Riesgos'!$M$49="Leve"),CONCATENATE("R",'Mapa Riesgos'!$A$49),"")</f>
        <v/>
      </c>
      <c r="K26" s="438"/>
      <c r="L26" s="438" t="str">
        <f ca="1">IF(AND('Mapa Riesgos'!$I$55="Media",'Mapa Riesgos'!$M$55="Leve"),CONCATENATE("R",'Mapa Riesgos'!$A$55),"")</f>
        <v/>
      </c>
      <c r="M26" s="438"/>
      <c r="N26" s="438" t="str">
        <f ca="1">IF(AND('Mapa Riesgos'!$I$61="Media",'Mapa Riesgos'!$M$61="Leve"),CONCATENATE("R",'Mapa Riesgos'!$A$61),"")</f>
        <v/>
      </c>
      <c r="O26" s="439"/>
      <c r="P26" s="437" t="str">
        <f ca="1">IF(AND('Mapa Riesgos'!$I$49="Media",'Mapa Riesgos'!$M$49="Menor"),CONCATENATE("R",'Mapa Riesgos'!$A$49),"")</f>
        <v/>
      </c>
      <c r="Q26" s="438"/>
      <c r="R26" s="438" t="str">
        <f ca="1">IF(AND('Mapa Riesgos'!$I$55="Media",'Mapa Riesgos'!$M$55="Menor"),CONCATENATE("R",'Mapa Riesgos'!$A$55),"")</f>
        <v/>
      </c>
      <c r="S26" s="438"/>
      <c r="T26" s="438" t="str">
        <f ca="1">IF(AND('Mapa Riesgos'!$I$61="Media",'Mapa Riesgos'!$M$61="Menor"),CONCATENATE("R",'Mapa Riesgos'!$A$61),"")</f>
        <v/>
      </c>
      <c r="U26" s="439"/>
      <c r="V26" s="437" t="str">
        <f ca="1">IF(AND('Mapa Riesgos'!$I$49="Media",'Mapa Riesgos'!$M$49="Moderado"),CONCATENATE("R",'Mapa Riesgos'!$A$49),"")</f>
        <v/>
      </c>
      <c r="W26" s="438"/>
      <c r="X26" s="438" t="str">
        <f ca="1">IF(AND('Mapa Riesgos'!$I$55="Media",'Mapa Riesgos'!$M$55="Moderado"),CONCATENATE("R",'Mapa Riesgos'!$A$55),"")</f>
        <v/>
      </c>
      <c r="Y26" s="438"/>
      <c r="Z26" s="438" t="str">
        <f ca="1">IF(AND('Mapa Riesgos'!$I$61="Media",'Mapa Riesgos'!$M$61="Moderado"),CONCATENATE("R",'Mapa Riesgos'!$A$61),"")</f>
        <v/>
      </c>
      <c r="AA26" s="439"/>
      <c r="AB26" s="455" t="str">
        <f ca="1">IF(AND('Mapa Riesgos'!$I$49="Media",'Mapa Riesgos'!$M$49="Mayor"),CONCATENATE("R",'Mapa Riesgos'!$A$49),"")</f>
        <v/>
      </c>
      <c r="AC26" s="456"/>
      <c r="AD26" s="457" t="str">
        <f ca="1">IF(AND('Mapa Riesgos'!$I$55="Media",'Mapa Riesgos'!$M$55="Mayor"),CONCATENATE("R",'Mapa Riesgos'!$A$55),"")</f>
        <v/>
      </c>
      <c r="AE26" s="457"/>
      <c r="AF26" s="457" t="str">
        <f ca="1">IF(AND('Mapa Riesgos'!$I$61="Media",'Mapa Riesgos'!$M$61="Mayor"),CONCATENATE("R",'Mapa Riesgos'!$A$61),"")</f>
        <v/>
      </c>
      <c r="AG26" s="458"/>
      <c r="AH26" s="446" t="str">
        <f ca="1">IF(AND('Mapa Riesgos'!$I$49="Media",'Mapa Riesgos'!$M$49="Catastrófico"),CONCATENATE("R",'Mapa Riesgos'!$A$49),"")</f>
        <v/>
      </c>
      <c r="AI26" s="447"/>
      <c r="AJ26" s="447" t="str">
        <f ca="1">IF(AND('Mapa Riesgos'!$I$55="Media",'Mapa Riesgos'!$M$55="Catastrófico"),CONCATENATE("R",'Mapa Riesgos'!$A$55),"")</f>
        <v/>
      </c>
      <c r="AK26" s="447"/>
      <c r="AL26" s="447" t="str">
        <f ca="1">IF(AND('Mapa Riesgos'!$I$61="Media",'Mapa Riesgos'!$M$61="Catastrófico"),CONCATENATE("R",'Mapa Riesgos'!$A$61),"")</f>
        <v/>
      </c>
      <c r="AM26" s="448"/>
      <c r="AN26" s="76"/>
      <c r="AO26" s="500"/>
      <c r="AP26" s="501"/>
      <c r="AQ26" s="501"/>
      <c r="AR26" s="501"/>
      <c r="AS26" s="501"/>
      <c r="AT26" s="502"/>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c r="A27" s="76"/>
      <c r="B27" s="477"/>
      <c r="C27" s="477"/>
      <c r="D27" s="478"/>
      <c r="E27" s="469"/>
      <c r="F27" s="470"/>
      <c r="G27" s="470"/>
      <c r="H27" s="470"/>
      <c r="I27" s="471"/>
      <c r="J27" s="437"/>
      <c r="K27" s="438"/>
      <c r="L27" s="438"/>
      <c r="M27" s="438"/>
      <c r="N27" s="438"/>
      <c r="O27" s="439"/>
      <c r="P27" s="437"/>
      <c r="Q27" s="438"/>
      <c r="R27" s="438"/>
      <c r="S27" s="438"/>
      <c r="T27" s="438"/>
      <c r="U27" s="439"/>
      <c r="V27" s="437"/>
      <c r="W27" s="438"/>
      <c r="X27" s="438"/>
      <c r="Y27" s="438"/>
      <c r="Z27" s="438"/>
      <c r="AA27" s="439"/>
      <c r="AB27" s="455"/>
      <c r="AC27" s="456"/>
      <c r="AD27" s="457"/>
      <c r="AE27" s="457"/>
      <c r="AF27" s="457"/>
      <c r="AG27" s="458"/>
      <c r="AH27" s="446"/>
      <c r="AI27" s="447"/>
      <c r="AJ27" s="447"/>
      <c r="AK27" s="447"/>
      <c r="AL27" s="447"/>
      <c r="AM27" s="448"/>
      <c r="AN27" s="76"/>
      <c r="AO27" s="500"/>
      <c r="AP27" s="501"/>
      <c r="AQ27" s="501"/>
      <c r="AR27" s="501"/>
      <c r="AS27" s="501"/>
      <c r="AT27" s="502"/>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c r="A28" s="76"/>
      <c r="B28" s="477"/>
      <c r="C28" s="477"/>
      <c r="D28" s="478"/>
      <c r="E28" s="469"/>
      <c r="F28" s="470"/>
      <c r="G28" s="470"/>
      <c r="H28" s="470"/>
      <c r="I28" s="471"/>
      <c r="J28" s="437" t="str">
        <f>IF(AND('Mapa Riesgos'!$I$67="Media",'Mapa Riesgos'!$M$67="Leve"),CONCATENATE("R",'Mapa Riesgos'!$A$67),"")</f>
        <v/>
      </c>
      <c r="K28" s="438"/>
      <c r="L28" s="438" t="e">
        <f>IF(AND('Mapa Riesgos'!#REF!="Media",'Mapa Riesgos'!#REF!="Leve"),CONCATENATE("R",'Mapa Riesgos'!#REF!),"")</f>
        <v>#REF!</v>
      </c>
      <c r="M28" s="438"/>
      <c r="N28" s="438" t="str">
        <f>IF(AND('Mapa Riesgos'!$I$77="Media",'Mapa Riesgos'!$M$77="Leve"),CONCATENATE("R",'Mapa Riesgos'!$A$77),"")</f>
        <v/>
      </c>
      <c r="O28" s="439"/>
      <c r="P28" s="437" t="str">
        <f>IF(AND('Mapa Riesgos'!$I$67="Media",'Mapa Riesgos'!$M$67="Menor"),CONCATENATE("R",'Mapa Riesgos'!$A$67),"")</f>
        <v/>
      </c>
      <c r="Q28" s="438"/>
      <c r="R28" s="438" t="e">
        <f>IF(AND('Mapa Riesgos'!#REF!="Media",'Mapa Riesgos'!#REF!="Menor"),CONCATENATE("R",'Mapa Riesgos'!#REF!),"")</f>
        <v>#REF!</v>
      </c>
      <c r="S28" s="438"/>
      <c r="T28" s="438" t="str">
        <f>IF(AND('Mapa Riesgos'!$I$77="Media",'Mapa Riesgos'!$M$77="Menor"),CONCATENATE("R",'Mapa Riesgos'!$A$77),"")</f>
        <v/>
      </c>
      <c r="U28" s="439"/>
      <c r="V28" s="437" t="str">
        <f>IF(AND('Mapa Riesgos'!$I$67="Media",'Mapa Riesgos'!$M$67="Moderado"),CONCATENATE("R",'Mapa Riesgos'!$A$67),"")</f>
        <v/>
      </c>
      <c r="W28" s="438"/>
      <c r="X28" s="438" t="e">
        <f>IF(AND('Mapa Riesgos'!#REF!="Media",'Mapa Riesgos'!#REF!="Moderado"),CONCATENATE("R",'Mapa Riesgos'!#REF!),"")</f>
        <v>#REF!</v>
      </c>
      <c r="Y28" s="438"/>
      <c r="Z28" s="438" t="str">
        <f>IF(AND('Mapa Riesgos'!$I$77="Media",'Mapa Riesgos'!$M$77="Moderado"),CONCATENATE("R",'Mapa Riesgos'!$A$77),"")</f>
        <v/>
      </c>
      <c r="AA28" s="439"/>
      <c r="AB28" s="455" t="str">
        <f>IF(AND('Mapa Riesgos'!$I$67="Media",'Mapa Riesgos'!$M$67="Mayor"),CONCATENATE("R",'Mapa Riesgos'!$A$67),"")</f>
        <v/>
      </c>
      <c r="AC28" s="456"/>
      <c r="AD28" s="457" t="e">
        <f>IF(AND('Mapa Riesgos'!#REF!="Media",'Mapa Riesgos'!#REF!="Mayor"),CONCATENATE("R",'Mapa Riesgos'!#REF!),"")</f>
        <v>#REF!</v>
      </c>
      <c r="AE28" s="457"/>
      <c r="AF28" s="457" t="str">
        <f>IF(AND('Mapa Riesgos'!$I$77="Media",'Mapa Riesgos'!$M$77="Mayor"),CONCATENATE("R",'Mapa Riesgos'!$A$77),"")</f>
        <v/>
      </c>
      <c r="AG28" s="458"/>
      <c r="AH28" s="446" t="str">
        <f>IF(AND('Mapa Riesgos'!$I$67="Media",'Mapa Riesgos'!$M$67="Catastrófico"),CONCATENATE("R",'Mapa Riesgos'!$A$67),"")</f>
        <v/>
      </c>
      <c r="AI28" s="447"/>
      <c r="AJ28" s="447" t="e">
        <f>IF(AND('Mapa Riesgos'!#REF!="Media",'Mapa Riesgos'!#REF!="Catastrófico"),CONCATENATE("R",'Mapa Riesgos'!#REF!),"")</f>
        <v>#REF!</v>
      </c>
      <c r="AK28" s="447"/>
      <c r="AL28" s="447" t="str">
        <f>IF(AND('Mapa Riesgos'!$I$77="Media",'Mapa Riesgos'!$M$77="Catastrófico"),CONCATENATE("R",'Mapa Riesgos'!$A$77),"")</f>
        <v/>
      </c>
      <c r="AM28" s="448"/>
      <c r="AN28" s="76"/>
      <c r="AO28" s="500"/>
      <c r="AP28" s="501"/>
      <c r="AQ28" s="501"/>
      <c r="AR28" s="501"/>
      <c r="AS28" s="501"/>
      <c r="AT28" s="502"/>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c r="A29" s="76"/>
      <c r="B29" s="477"/>
      <c r="C29" s="477"/>
      <c r="D29" s="478"/>
      <c r="E29" s="472"/>
      <c r="F29" s="473"/>
      <c r="G29" s="473"/>
      <c r="H29" s="473"/>
      <c r="I29" s="474"/>
      <c r="J29" s="437"/>
      <c r="K29" s="438"/>
      <c r="L29" s="438"/>
      <c r="M29" s="438"/>
      <c r="N29" s="438"/>
      <c r="O29" s="439"/>
      <c r="P29" s="440"/>
      <c r="Q29" s="441"/>
      <c r="R29" s="441"/>
      <c r="S29" s="441"/>
      <c r="T29" s="441"/>
      <c r="U29" s="442"/>
      <c r="V29" s="440"/>
      <c r="W29" s="441"/>
      <c r="X29" s="441"/>
      <c r="Y29" s="441"/>
      <c r="Z29" s="441"/>
      <c r="AA29" s="442"/>
      <c r="AB29" s="459"/>
      <c r="AC29" s="460"/>
      <c r="AD29" s="460"/>
      <c r="AE29" s="460"/>
      <c r="AF29" s="460"/>
      <c r="AG29" s="461"/>
      <c r="AH29" s="449"/>
      <c r="AI29" s="450"/>
      <c r="AJ29" s="450"/>
      <c r="AK29" s="450"/>
      <c r="AL29" s="450"/>
      <c r="AM29" s="451"/>
      <c r="AN29" s="76"/>
      <c r="AO29" s="503"/>
      <c r="AP29" s="504"/>
      <c r="AQ29" s="504"/>
      <c r="AR29" s="504"/>
      <c r="AS29" s="504"/>
      <c r="AT29" s="505"/>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c r="A30" s="76"/>
      <c r="B30" s="477"/>
      <c r="C30" s="477"/>
      <c r="D30" s="478"/>
      <c r="E30" s="466" t="s">
        <v>106</v>
      </c>
      <c r="F30" s="467"/>
      <c r="G30" s="467"/>
      <c r="H30" s="467"/>
      <c r="I30" s="467"/>
      <c r="J30" s="434" t="str">
        <f ca="1">IF(AND('Mapa Riesgos'!$I$13="Baja",'Mapa Riesgos'!$M$13="Leve"),CONCATENATE("R",'Mapa Riesgos'!$A$13),"")</f>
        <v/>
      </c>
      <c r="K30" s="435"/>
      <c r="L30" s="435" t="str">
        <f ca="1">IF(AND('Mapa Riesgos'!$I$19="Baja",'Mapa Riesgos'!$M$19="Leve"),CONCATENATE("R",'Mapa Riesgos'!$A$19),"")</f>
        <v/>
      </c>
      <c r="M30" s="435"/>
      <c r="N30" s="435" t="str">
        <f ca="1">IF(AND('Mapa Riesgos'!$I$25="Baja",'Mapa Riesgos'!$M$25="Leve"),CONCATENATE("R",'Mapa Riesgos'!$A$25),"")</f>
        <v/>
      </c>
      <c r="O30" s="436"/>
      <c r="P30" s="444" t="str">
        <f ca="1">IF(AND('Mapa Riesgos'!$I$13="Baja",'Mapa Riesgos'!$M$13="Menor"),CONCATENATE("R",'Mapa Riesgos'!$A$13),"")</f>
        <v/>
      </c>
      <c r="Q30" s="444"/>
      <c r="R30" s="444" t="str">
        <f ca="1">IF(AND('Mapa Riesgos'!$I$19="Baja",'Mapa Riesgos'!$M$19="Menor"),CONCATENATE("R",'Mapa Riesgos'!$A$19),"")</f>
        <v/>
      </c>
      <c r="S30" s="444"/>
      <c r="T30" s="444" t="str">
        <f ca="1">IF(AND('Mapa Riesgos'!$I$25="Baja",'Mapa Riesgos'!$M$25="Menor"),CONCATENATE("R",'Mapa Riesgos'!$A$25),"")</f>
        <v/>
      </c>
      <c r="U30" s="445"/>
      <c r="V30" s="443" t="str">
        <f ca="1">IF(AND('Mapa Riesgos'!$I$13="Baja",'Mapa Riesgos'!$M$13="Moderado"),CONCATENATE("R",'Mapa Riesgos'!$A$13),"")</f>
        <v/>
      </c>
      <c r="W30" s="444"/>
      <c r="X30" s="444" t="str">
        <f ca="1">IF(AND('Mapa Riesgos'!$I$19="Baja",'Mapa Riesgos'!$M$19="Moderado"),CONCATENATE("R",'Mapa Riesgos'!$A$19),"")</f>
        <v/>
      </c>
      <c r="Y30" s="444"/>
      <c r="Z30" s="444" t="str">
        <f ca="1">IF(AND('Mapa Riesgos'!$I$25="Baja",'Mapa Riesgos'!$M$25="Moderado"),CONCATENATE("R",'Mapa Riesgos'!$A$25),"")</f>
        <v/>
      </c>
      <c r="AA30" s="445"/>
      <c r="AB30" s="462" t="str">
        <f ca="1">IF(AND('Mapa Riesgos'!$I$13="Baja",'Mapa Riesgos'!$M$13="Mayor"),CONCATENATE("R",'Mapa Riesgos'!$A$13),"")</f>
        <v>R1</v>
      </c>
      <c r="AC30" s="463"/>
      <c r="AD30" s="463" t="str">
        <f ca="1">IF(AND('Mapa Riesgos'!$I$19="Baja",'Mapa Riesgos'!$M$19="Mayor"),CONCATENATE("R",'Mapa Riesgos'!$A$19),"")</f>
        <v>R2</v>
      </c>
      <c r="AE30" s="463"/>
      <c r="AF30" s="463" t="str">
        <f ca="1">IF(AND('Mapa Riesgos'!$I$25="Baja",'Mapa Riesgos'!$M$25="Mayor"),CONCATENATE("R",'Mapa Riesgos'!$A$25),"")</f>
        <v>R3</v>
      </c>
      <c r="AG30" s="464"/>
      <c r="AH30" s="452" t="str">
        <f ca="1">IF(AND('Mapa Riesgos'!$I$13="Baja",'Mapa Riesgos'!$M$13="Catastrófico"),CONCATENATE("R",'Mapa Riesgos'!$A$13),"")</f>
        <v/>
      </c>
      <c r="AI30" s="453"/>
      <c r="AJ30" s="453" t="str">
        <f ca="1">IF(AND('Mapa Riesgos'!$I$19="Baja",'Mapa Riesgos'!$M$19="Catastrófico"),CONCATENATE("R",'Mapa Riesgos'!$A$19),"")</f>
        <v/>
      </c>
      <c r="AK30" s="453"/>
      <c r="AL30" s="453" t="str">
        <f ca="1">IF(AND('Mapa Riesgos'!$I$25="Baja",'Mapa Riesgos'!$M$25="Catastrófico"),CONCATENATE("R",'Mapa Riesgos'!$A$25),"")</f>
        <v/>
      </c>
      <c r="AM30" s="454"/>
      <c r="AN30" s="76"/>
      <c r="AO30" s="506" t="s">
        <v>78</v>
      </c>
      <c r="AP30" s="507"/>
      <c r="AQ30" s="507"/>
      <c r="AR30" s="507"/>
      <c r="AS30" s="507"/>
      <c r="AT30" s="508"/>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c r="A31" s="76"/>
      <c r="B31" s="477"/>
      <c r="C31" s="477"/>
      <c r="D31" s="478"/>
      <c r="E31" s="469"/>
      <c r="F31" s="470"/>
      <c r="G31" s="470"/>
      <c r="H31" s="470"/>
      <c r="I31" s="475"/>
      <c r="J31" s="428"/>
      <c r="K31" s="429"/>
      <c r="L31" s="429"/>
      <c r="M31" s="429"/>
      <c r="N31" s="429"/>
      <c r="O31" s="430"/>
      <c r="P31" s="438"/>
      <c r="Q31" s="438"/>
      <c r="R31" s="438"/>
      <c r="S31" s="438"/>
      <c r="T31" s="438"/>
      <c r="U31" s="439"/>
      <c r="V31" s="437"/>
      <c r="W31" s="438"/>
      <c r="X31" s="438"/>
      <c r="Y31" s="438"/>
      <c r="Z31" s="438"/>
      <c r="AA31" s="439"/>
      <c r="AB31" s="455"/>
      <c r="AC31" s="456"/>
      <c r="AD31" s="456"/>
      <c r="AE31" s="456"/>
      <c r="AF31" s="456"/>
      <c r="AG31" s="458"/>
      <c r="AH31" s="446"/>
      <c r="AI31" s="447"/>
      <c r="AJ31" s="447"/>
      <c r="AK31" s="447"/>
      <c r="AL31" s="447"/>
      <c r="AM31" s="448"/>
      <c r="AN31" s="76"/>
      <c r="AO31" s="509"/>
      <c r="AP31" s="510"/>
      <c r="AQ31" s="510"/>
      <c r="AR31" s="510"/>
      <c r="AS31" s="510"/>
      <c r="AT31" s="511"/>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c r="A32" s="76"/>
      <c r="B32" s="477"/>
      <c r="C32" s="477"/>
      <c r="D32" s="478"/>
      <c r="E32" s="469"/>
      <c r="F32" s="470"/>
      <c r="G32" s="470"/>
      <c r="H32" s="470"/>
      <c r="I32" s="475"/>
      <c r="J32" s="428" t="str">
        <f ca="1">IF(AND('Mapa Riesgos'!$I$31="Baja",'Mapa Riesgos'!$M$31="Leve"),CONCATENATE("R",'Mapa Riesgos'!$A$31),"")</f>
        <v/>
      </c>
      <c r="K32" s="429"/>
      <c r="L32" s="429" t="str">
        <f ca="1">IF(AND('Mapa Riesgos'!$I$37="Baja",'Mapa Riesgos'!$M$37="Leve"),CONCATENATE("R",'Mapa Riesgos'!$A$37),"")</f>
        <v/>
      </c>
      <c r="M32" s="429"/>
      <c r="N32" s="429" t="str">
        <f ca="1">IF(AND('Mapa Riesgos'!$I$43="Baja",'Mapa Riesgos'!$M$43="Leve"),CONCATENATE("R",'Mapa Riesgos'!$A$43),"")</f>
        <v/>
      </c>
      <c r="O32" s="430"/>
      <c r="P32" s="438" t="str">
        <f ca="1">IF(AND('Mapa Riesgos'!$I$31="Baja",'Mapa Riesgos'!$M$31="Menor"),CONCATENATE("R",'Mapa Riesgos'!$A$31),"")</f>
        <v/>
      </c>
      <c r="Q32" s="438"/>
      <c r="R32" s="438" t="str">
        <f ca="1">IF(AND('Mapa Riesgos'!$I$37="Baja",'Mapa Riesgos'!$M$37="Menor"),CONCATENATE("R",'Mapa Riesgos'!$A$37),"")</f>
        <v/>
      </c>
      <c r="S32" s="438"/>
      <c r="T32" s="438" t="str">
        <f ca="1">IF(AND('Mapa Riesgos'!$I$43="Baja",'Mapa Riesgos'!$M$43="Menor"),CONCATENATE("R",'Mapa Riesgos'!$A$43),"")</f>
        <v/>
      </c>
      <c r="U32" s="439"/>
      <c r="V32" s="437" t="str">
        <f ca="1">IF(AND('Mapa Riesgos'!$I$31="Baja",'Mapa Riesgos'!$M$31="Moderado"),CONCATENATE("R",'Mapa Riesgos'!$A$31),"")</f>
        <v/>
      </c>
      <c r="W32" s="438"/>
      <c r="X32" s="438" t="str">
        <f ca="1">IF(AND('Mapa Riesgos'!$I$37="Baja",'Mapa Riesgos'!$M$37="Moderado"),CONCATENATE("R",'Mapa Riesgos'!$A$37),"")</f>
        <v/>
      </c>
      <c r="Y32" s="438"/>
      <c r="Z32" s="438" t="str">
        <f ca="1">IF(AND('Mapa Riesgos'!$I$43="Baja",'Mapa Riesgos'!$M$43="Moderado"),CONCATENATE("R",'Mapa Riesgos'!$A$43),"")</f>
        <v>R6</v>
      </c>
      <c r="AA32" s="439"/>
      <c r="AB32" s="455" t="str">
        <f ca="1">IF(AND('Mapa Riesgos'!$I$31="Baja",'Mapa Riesgos'!$M$31="Mayor"),CONCATENATE("R",'Mapa Riesgos'!$A$31),"")</f>
        <v/>
      </c>
      <c r="AC32" s="456"/>
      <c r="AD32" s="457" t="str">
        <f ca="1">IF(AND('Mapa Riesgos'!$I$37="Baja",'Mapa Riesgos'!$M$37="Mayor"),CONCATENATE("R",'Mapa Riesgos'!$A$37),"")</f>
        <v>R5</v>
      </c>
      <c r="AE32" s="457"/>
      <c r="AF32" s="457" t="str">
        <f ca="1">IF(AND('Mapa Riesgos'!$I$43="Baja",'Mapa Riesgos'!$M$43="Mayor"),CONCATENATE("R",'Mapa Riesgos'!$A$43),"")</f>
        <v/>
      </c>
      <c r="AG32" s="458"/>
      <c r="AH32" s="446" t="str">
        <f ca="1">IF(AND('Mapa Riesgos'!$I$31="Baja",'Mapa Riesgos'!$M$31="Catastrófico"),CONCATENATE("R",'Mapa Riesgos'!$A$31),"")</f>
        <v/>
      </c>
      <c r="AI32" s="447"/>
      <c r="AJ32" s="447" t="str">
        <f ca="1">IF(AND('Mapa Riesgos'!$I$37="Baja",'Mapa Riesgos'!$M$37="Catastrófico"),CONCATENATE("R",'Mapa Riesgos'!$A$37),"")</f>
        <v/>
      </c>
      <c r="AK32" s="447"/>
      <c r="AL32" s="447" t="str">
        <f ca="1">IF(AND('Mapa Riesgos'!$I$43="Baja",'Mapa Riesgos'!$M$43="Catastrófico"),CONCATENATE("R",'Mapa Riesgos'!$A$43),"")</f>
        <v/>
      </c>
      <c r="AM32" s="448"/>
      <c r="AN32" s="76"/>
      <c r="AO32" s="509"/>
      <c r="AP32" s="510"/>
      <c r="AQ32" s="510"/>
      <c r="AR32" s="510"/>
      <c r="AS32" s="510"/>
      <c r="AT32" s="511"/>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c r="A33" s="76"/>
      <c r="B33" s="477"/>
      <c r="C33" s="477"/>
      <c r="D33" s="478"/>
      <c r="E33" s="469"/>
      <c r="F33" s="470"/>
      <c r="G33" s="470"/>
      <c r="H33" s="470"/>
      <c r="I33" s="475"/>
      <c r="J33" s="428"/>
      <c r="K33" s="429"/>
      <c r="L33" s="429"/>
      <c r="M33" s="429"/>
      <c r="N33" s="429"/>
      <c r="O33" s="430"/>
      <c r="P33" s="438"/>
      <c r="Q33" s="438"/>
      <c r="R33" s="438"/>
      <c r="S33" s="438"/>
      <c r="T33" s="438"/>
      <c r="U33" s="439"/>
      <c r="V33" s="437"/>
      <c r="W33" s="438"/>
      <c r="X33" s="438"/>
      <c r="Y33" s="438"/>
      <c r="Z33" s="438"/>
      <c r="AA33" s="439"/>
      <c r="AB33" s="455"/>
      <c r="AC33" s="456"/>
      <c r="AD33" s="457"/>
      <c r="AE33" s="457"/>
      <c r="AF33" s="457"/>
      <c r="AG33" s="458"/>
      <c r="AH33" s="446"/>
      <c r="AI33" s="447"/>
      <c r="AJ33" s="447"/>
      <c r="AK33" s="447"/>
      <c r="AL33" s="447"/>
      <c r="AM33" s="448"/>
      <c r="AN33" s="76"/>
      <c r="AO33" s="509"/>
      <c r="AP33" s="510"/>
      <c r="AQ33" s="510"/>
      <c r="AR33" s="510"/>
      <c r="AS33" s="510"/>
      <c r="AT33" s="511"/>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c r="A34" s="76"/>
      <c r="B34" s="477"/>
      <c r="C34" s="477"/>
      <c r="D34" s="478"/>
      <c r="E34" s="469"/>
      <c r="F34" s="470"/>
      <c r="G34" s="470"/>
      <c r="H34" s="470"/>
      <c r="I34" s="475"/>
      <c r="J34" s="428" t="str">
        <f ca="1">IF(AND('Mapa Riesgos'!$I$49="Baja",'Mapa Riesgos'!$M$49="Leve"),CONCATENATE("R",'Mapa Riesgos'!$A$49),"")</f>
        <v/>
      </c>
      <c r="K34" s="429"/>
      <c r="L34" s="429" t="str">
        <f ca="1">IF(AND('Mapa Riesgos'!$I$55="Baja",'Mapa Riesgos'!$M$55="Leve"),CONCATENATE("R",'Mapa Riesgos'!$A$55),"")</f>
        <v/>
      </c>
      <c r="M34" s="429"/>
      <c r="N34" s="429" t="str">
        <f ca="1">IF(AND('Mapa Riesgos'!$I$61="Baja",'Mapa Riesgos'!$M$61="Leve"),CONCATENATE("R",'Mapa Riesgos'!$A$61),"")</f>
        <v/>
      </c>
      <c r="O34" s="430"/>
      <c r="P34" s="438" t="str">
        <f ca="1">IF(AND('Mapa Riesgos'!$I$49="Baja",'Mapa Riesgos'!$M$49="Menor"),CONCATENATE("R",'Mapa Riesgos'!$A$49),"")</f>
        <v/>
      </c>
      <c r="Q34" s="438"/>
      <c r="R34" s="438" t="str">
        <f ca="1">IF(AND('Mapa Riesgos'!$I$55="Baja",'Mapa Riesgos'!$M$55="Menor"),CONCATENATE("R",'Mapa Riesgos'!$A$55),"")</f>
        <v/>
      </c>
      <c r="S34" s="438"/>
      <c r="T34" s="438" t="str">
        <f ca="1">IF(AND('Mapa Riesgos'!$I$61="Baja",'Mapa Riesgos'!$M$61="Menor"),CONCATENATE("R",'Mapa Riesgos'!$A$61),"")</f>
        <v/>
      </c>
      <c r="U34" s="439"/>
      <c r="V34" s="437" t="str">
        <f ca="1">IF(AND('Mapa Riesgos'!$I$49="Baja",'Mapa Riesgos'!$M$49="Moderado"),CONCATENATE("R",'Mapa Riesgos'!$A$49),"")</f>
        <v>R7</v>
      </c>
      <c r="W34" s="438"/>
      <c r="X34" s="438" t="str">
        <f ca="1">IF(AND('Mapa Riesgos'!$I$55="Baja",'Mapa Riesgos'!$M$55="Moderado"),CONCATENATE("R",'Mapa Riesgos'!$A$55),"")</f>
        <v/>
      </c>
      <c r="Y34" s="438"/>
      <c r="Z34" s="438" t="str">
        <f ca="1">IF(AND('Mapa Riesgos'!$I$61="Baja",'Mapa Riesgos'!$M$61="Moderado"),CONCATENATE("R",'Mapa Riesgos'!$A$61),"")</f>
        <v/>
      </c>
      <c r="AA34" s="439"/>
      <c r="AB34" s="455" t="str">
        <f ca="1">IF(AND('Mapa Riesgos'!$I$49="Baja",'Mapa Riesgos'!$M$49="Mayor"),CONCATENATE("R",'Mapa Riesgos'!$A$49),"")</f>
        <v/>
      </c>
      <c r="AC34" s="456"/>
      <c r="AD34" s="457" t="str">
        <f ca="1">IF(AND('Mapa Riesgos'!$I$55="Baja",'Mapa Riesgos'!$M$55="Mayor"),CONCATENATE("R",'Mapa Riesgos'!$A$55),"")</f>
        <v/>
      </c>
      <c r="AE34" s="457"/>
      <c r="AF34" s="457" t="str">
        <f ca="1">IF(AND('Mapa Riesgos'!$I$61="Baja",'Mapa Riesgos'!$M$61="Mayor"),CONCATENATE("R",'Mapa Riesgos'!$A$61),"")</f>
        <v/>
      </c>
      <c r="AG34" s="458"/>
      <c r="AH34" s="446" t="str">
        <f ca="1">IF(AND('Mapa Riesgos'!$I$49="Baja",'Mapa Riesgos'!$M$49="Catastrófico"),CONCATENATE("R",'Mapa Riesgos'!$A$49),"")</f>
        <v/>
      </c>
      <c r="AI34" s="447"/>
      <c r="AJ34" s="447" t="str">
        <f ca="1">IF(AND('Mapa Riesgos'!$I$55="Baja",'Mapa Riesgos'!$M$55="Catastrófico"),CONCATENATE("R",'Mapa Riesgos'!$A$55),"")</f>
        <v/>
      </c>
      <c r="AK34" s="447"/>
      <c r="AL34" s="447" t="str">
        <f ca="1">IF(AND('Mapa Riesgos'!$I$61="Baja",'Mapa Riesgos'!$M$61="Catastrófico"),CONCATENATE("R",'Mapa Riesgos'!$A$61),"")</f>
        <v/>
      </c>
      <c r="AM34" s="448"/>
      <c r="AN34" s="76"/>
      <c r="AO34" s="509"/>
      <c r="AP34" s="510"/>
      <c r="AQ34" s="510"/>
      <c r="AR34" s="510"/>
      <c r="AS34" s="510"/>
      <c r="AT34" s="511"/>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c r="A35" s="76"/>
      <c r="B35" s="477"/>
      <c r="C35" s="477"/>
      <c r="D35" s="478"/>
      <c r="E35" s="469"/>
      <c r="F35" s="470"/>
      <c r="G35" s="470"/>
      <c r="H35" s="470"/>
      <c r="I35" s="475"/>
      <c r="J35" s="428"/>
      <c r="K35" s="429"/>
      <c r="L35" s="429"/>
      <c r="M35" s="429"/>
      <c r="N35" s="429"/>
      <c r="O35" s="430"/>
      <c r="P35" s="438"/>
      <c r="Q35" s="438"/>
      <c r="R35" s="438"/>
      <c r="S35" s="438"/>
      <c r="T35" s="438"/>
      <c r="U35" s="439"/>
      <c r="V35" s="437"/>
      <c r="W35" s="438"/>
      <c r="X35" s="438"/>
      <c r="Y35" s="438"/>
      <c r="Z35" s="438"/>
      <c r="AA35" s="439"/>
      <c r="AB35" s="455"/>
      <c r="AC35" s="456"/>
      <c r="AD35" s="457"/>
      <c r="AE35" s="457"/>
      <c r="AF35" s="457"/>
      <c r="AG35" s="458"/>
      <c r="AH35" s="446"/>
      <c r="AI35" s="447"/>
      <c r="AJ35" s="447"/>
      <c r="AK35" s="447"/>
      <c r="AL35" s="447"/>
      <c r="AM35" s="448"/>
      <c r="AN35" s="76"/>
      <c r="AO35" s="509"/>
      <c r="AP35" s="510"/>
      <c r="AQ35" s="510"/>
      <c r="AR35" s="510"/>
      <c r="AS35" s="510"/>
      <c r="AT35" s="511"/>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c r="A36" s="76"/>
      <c r="B36" s="477"/>
      <c r="C36" s="477"/>
      <c r="D36" s="478"/>
      <c r="E36" s="469"/>
      <c r="F36" s="470"/>
      <c r="G36" s="470"/>
      <c r="H36" s="470"/>
      <c r="I36" s="475"/>
      <c r="J36" s="428" t="str">
        <f>IF(AND('Mapa Riesgos'!$I$67="Baja",'Mapa Riesgos'!$M$67="Leve"),CONCATENATE("R",'Mapa Riesgos'!$A$67),"")</f>
        <v/>
      </c>
      <c r="K36" s="429"/>
      <c r="L36" s="429" t="e">
        <f>IF(AND('Mapa Riesgos'!#REF!="Baja",'Mapa Riesgos'!#REF!="Leve"),CONCATENATE("R",'Mapa Riesgos'!#REF!),"")</f>
        <v>#REF!</v>
      </c>
      <c r="M36" s="429"/>
      <c r="N36" s="429" t="str">
        <f>IF(AND('Mapa Riesgos'!$I$77="Baja",'Mapa Riesgos'!$M$77="Leve"),CONCATENATE("R",'Mapa Riesgos'!$A$77),"")</f>
        <v/>
      </c>
      <c r="O36" s="430"/>
      <c r="P36" s="438" t="str">
        <f>IF(AND('Mapa Riesgos'!$I$67="Baja",'Mapa Riesgos'!$M$67="Menor"),CONCATENATE("R",'Mapa Riesgos'!$A$67),"")</f>
        <v/>
      </c>
      <c r="Q36" s="438"/>
      <c r="R36" s="438" t="e">
        <f>IF(AND('Mapa Riesgos'!#REF!="Baja",'Mapa Riesgos'!#REF!="Menor"),CONCATENATE("R",'Mapa Riesgos'!#REF!),"")</f>
        <v>#REF!</v>
      </c>
      <c r="S36" s="438"/>
      <c r="T36" s="438" t="str">
        <f>IF(AND('Mapa Riesgos'!$I$77="Baja",'Mapa Riesgos'!$M$77="Menor"),CONCATENATE("R",'Mapa Riesgos'!$A$77),"")</f>
        <v/>
      </c>
      <c r="U36" s="439"/>
      <c r="V36" s="437" t="str">
        <f>IF(AND('Mapa Riesgos'!$I$67="Baja",'Mapa Riesgos'!$M$67="Moderado"),CONCATENATE("R",'Mapa Riesgos'!$A$67),"")</f>
        <v/>
      </c>
      <c r="W36" s="438"/>
      <c r="X36" s="438" t="e">
        <f>IF(AND('Mapa Riesgos'!#REF!="Baja",'Mapa Riesgos'!#REF!="Moderado"),CONCATENATE("R",'Mapa Riesgos'!#REF!),"")</f>
        <v>#REF!</v>
      </c>
      <c r="Y36" s="438"/>
      <c r="Z36" s="438" t="str">
        <f>IF(AND('Mapa Riesgos'!$I$77="Baja",'Mapa Riesgos'!$M$77="Moderado"),CONCATENATE("R",'Mapa Riesgos'!$A$77),"")</f>
        <v/>
      </c>
      <c r="AA36" s="439"/>
      <c r="AB36" s="455" t="str">
        <f>IF(AND('Mapa Riesgos'!$I$67="Baja",'Mapa Riesgos'!$M$67="Mayor"),CONCATENATE("R",'Mapa Riesgos'!$A$67),"")</f>
        <v/>
      </c>
      <c r="AC36" s="456"/>
      <c r="AD36" s="457" t="e">
        <f>IF(AND('Mapa Riesgos'!#REF!="Baja",'Mapa Riesgos'!#REF!="Mayor"),CONCATENATE("R",'Mapa Riesgos'!#REF!),"")</f>
        <v>#REF!</v>
      </c>
      <c r="AE36" s="457"/>
      <c r="AF36" s="457" t="str">
        <f>IF(AND('Mapa Riesgos'!$I$77="Baja",'Mapa Riesgos'!$M$77="Mayor"),CONCATENATE("R",'Mapa Riesgos'!$A$77),"")</f>
        <v/>
      </c>
      <c r="AG36" s="458"/>
      <c r="AH36" s="446" t="str">
        <f>IF(AND('Mapa Riesgos'!$I$67="Baja",'Mapa Riesgos'!$M$67="Catastrófico"),CONCATENATE("R",'Mapa Riesgos'!$A$67),"")</f>
        <v/>
      </c>
      <c r="AI36" s="447"/>
      <c r="AJ36" s="447" t="e">
        <f>IF(AND('Mapa Riesgos'!#REF!="Baja",'Mapa Riesgos'!#REF!="Catastrófico"),CONCATENATE("R",'Mapa Riesgos'!#REF!),"")</f>
        <v>#REF!</v>
      </c>
      <c r="AK36" s="447"/>
      <c r="AL36" s="447" t="str">
        <f>IF(AND('Mapa Riesgos'!$I$77="Baja",'Mapa Riesgos'!$M$77="Catastrófico"),CONCATENATE("R",'Mapa Riesgos'!$A$77),"")</f>
        <v/>
      </c>
      <c r="AM36" s="448"/>
      <c r="AN36" s="76"/>
      <c r="AO36" s="509"/>
      <c r="AP36" s="510"/>
      <c r="AQ36" s="510"/>
      <c r="AR36" s="510"/>
      <c r="AS36" s="510"/>
      <c r="AT36" s="511"/>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c r="A37" s="76"/>
      <c r="B37" s="477"/>
      <c r="C37" s="477"/>
      <c r="D37" s="478"/>
      <c r="E37" s="472"/>
      <c r="F37" s="473"/>
      <c r="G37" s="473"/>
      <c r="H37" s="473"/>
      <c r="I37" s="473"/>
      <c r="J37" s="431"/>
      <c r="K37" s="432"/>
      <c r="L37" s="432"/>
      <c r="M37" s="432"/>
      <c r="N37" s="432"/>
      <c r="O37" s="433"/>
      <c r="P37" s="441"/>
      <c r="Q37" s="441"/>
      <c r="R37" s="441"/>
      <c r="S37" s="441"/>
      <c r="T37" s="441"/>
      <c r="U37" s="442"/>
      <c r="V37" s="440"/>
      <c r="W37" s="441"/>
      <c r="X37" s="441"/>
      <c r="Y37" s="441"/>
      <c r="Z37" s="441"/>
      <c r="AA37" s="442"/>
      <c r="AB37" s="459"/>
      <c r="AC37" s="460"/>
      <c r="AD37" s="460"/>
      <c r="AE37" s="460"/>
      <c r="AF37" s="460"/>
      <c r="AG37" s="461"/>
      <c r="AH37" s="449"/>
      <c r="AI37" s="450"/>
      <c r="AJ37" s="450"/>
      <c r="AK37" s="450"/>
      <c r="AL37" s="450"/>
      <c r="AM37" s="451"/>
      <c r="AN37" s="76"/>
      <c r="AO37" s="512"/>
      <c r="AP37" s="513"/>
      <c r="AQ37" s="513"/>
      <c r="AR37" s="513"/>
      <c r="AS37" s="513"/>
      <c r="AT37" s="514"/>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c r="A38" s="76"/>
      <c r="B38" s="477"/>
      <c r="C38" s="477"/>
      <c r="D38" s="478"/>
      <c r="E38" s="466" t="s">
        <v>105</v>
      </c>
      <c r="F38" s="467"/>
      <c r="G38" s="467"/>
      <c r="H38" s="467"/>
      <c r="I38" s="468"/>
      <c r="J38" s="434" t="str">
        <f ca="1">IF(AND('Mapa Riesgos'!$I$13="Muy Baja",'Mapa Riesgos'!$M$13="Leve"),CONCATENATE("R",'Mapa Riesgos'!$A$13),"")</f>
        <v/>
      </c>
      <c r="K38" s="435"/>
      <c r="L38" s="435" t="str">
        <f ca="1">IF(AND('Mapa Riesgos'!$I$19="Muy Baja",'Mapa Riesgos'!$M$19="Leve"),CONCATENATE("R",'Mapa Riesgos'!$A$19),"")</f>
        <v/>
      </c>
      <c r="M38" s="435"/>
      <c r="N38" s="435" t="str">
        <f ca="1">IF(AND('Mapa Riesgos'!$I$25="Muy Baja",'Mapa Riesgos'!$M$25="Leve"),CONCATENATE("R",'Mapa Riesgos'!$A$25),"")</f>
        <v/>
      </c>
      <c r="O38" s="436"/>
      <c r="P38" s="434" t="str">
        <f ca="1">IF(AND('Mapa Riesgos'!$I$13="Muy Baja",'Mapa Riesgos'!$M$13="Menor"),CONCATENATE("R",'Mapa Riesgos'!$A$13),"")</f>
        <v/>
      </c>
      <c r="Q38" s="435"/>
      <c r="R38" s="435" t="str">
        <f ca="1">IF(AND('Mapa Riesgos'!$I$19="Muy Baja",'Mapa Riesgos'!$M$19="Menor"),CONCATENATE("R",'Mapa Riesgos'!$A$19),"")</f>
        <v/>
      </c>
      <c r="S38" s="435"/>
      <c r="T38" s="435" t="str">
        <f ca="1">IF(AND('Mapa Riesgos'!$I$25="Muy Baja",'Mapa Riesgos'!$M$25="Menor"),CONCATENATE("R",'Mapa Riesgos'!$A$25),"")</f>
        <v/>
      </c>
      <c r="U38" s="436"/>
      <c r="V38" s="443" t="str">
        <f ca="1">IF(AND('Mapa Riesgos'!$I$13="Muy Baja",'Mapa Riesgos'!$M$13="Moderado"),CONCATENATE("R",'Mapa Riesgos'!$A$13),"")</f>
        <v/>
      </c>
      <c r="W38" s="444"/>
      <c r="X38" s="444" t="str">
        <f ca="1">IF(AND('Mapa Riesgos'!$I$19="Muy Baja",'Mapa Riesgos'!$M$19="Moderado"),CONCATENATE("R",'Mapa Riesgos'!$A$19),"")</f>
        <v/>
      </c>
      <c r="Y38" s="444"/>
      <c r="Z38" s="444" t="str">
        <f ca="1">IF(AND('Mapa Riesgos'!$I$25="Muy Baja",'Mapa Riesgos'!$M$25="Moderado"),CONCATENATE("R",'Mapa Riesgos'!$A$25),"")</f>
        <v/>
      </c>
      <c r="AA38" s="445"/>
      <c r="AB38" s="462" t="str">
        <f ca="1">IF(AND('Mapa Riesgos'!$I$13="Muy Baja",'Mapa Riesgos'!$M$13="Mayor"),CONCATENATE("R",'Mapa Riesgos'!$A$13),"")</f>
        <v/>
      </c>
      <c r="AC38" s="463"/>
      <c r="AD38" s="463" t="str">
        <f ca="1">IF(AND('Mapa Riesgos'!$I$19="Muy Baja",'Mapa Riesgos'!$M$19="Mayor"),CONCATENATE("R",'Mapa Riesgos'!$A$19),"")</f>
        <v/>
      </c>
      <c r="AE38" s="463"/>
      <c r="AF38" s="463" t="str">
        <f ca="1">IF(AND('Mapa Riesgos'!$I$25="Muy Baja",'Mapa Riesgos'!$M$25="Mayor"),CONCATENATE("R",'Mapa Riesgos'!$A$25),"")</f>
        <v/>
      </c>
      <c r="AG38" s="464"/>
      <c r="AH38" s="452" t="str">
        <f ca="1">IF(AND('Mapa Riesgos'!$I$13="Muy Baja",'Mapa Riesgos'!$M$13="Catastrófico"),CONCATENATE("R",'Mapa Riesgos'!$A$13),"")</f>
        <v/>
      </c>
      <c r="AI38" s="453"/>
      <c r="AJ38" s="453" t="str">
        <f ca="1">IF(AND('Mapa Riesgos'!$I$19="Muy Baja",'Mapa Riesgos'!$M$19="Catastrófico"),CONCATENATE("R",'Mapa Riesgos'!$A$19),"")</f>
        <v/>
      </c>
      <c r="AK38" s="453"/>
      <c r="AL38" s="453" t="str">
        <f ca="1">IF(AND('Mapa Riesgos'!$I$25="Muy Baja",'Mapa Riesgos'!$M$25="Catastrófico"),CONCATENATE("R",'Mapa Riesgos'!$A$25),"")</f>
        <v/>
      </c>
      <c r="AM38" s="454"/>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c r="A39" s="76"/>
      <c r="B39" s="477"/>
      <c r="C39" s="477"/>
      <c r="D39" s="478"/>
      <c r="E39" s="469"/>
      <c r="F39" s="470"/>
      <c r="G39" s="470"/>
      <c r="H39" s="470"/>
      <c r="I39" s="471"/>
      <c r="J39" s="428"/>
      <c r="K39" s="429"/>
      <c r="L39" s="429"/>
      <c r="M39" s="429"/>
      <c r="N39" s="429"/>
      <c r="O39" s="430"/>
      <c r="P39" s="428"/>
      <c r="Q39" s="429"/>
      <c r="R39" s="429"/>
      <c r="S39" s="429"/>
      <c r="T39" s="429"/>
      <c r="U39" s="430"/>
      <c r="V39" s="437"/>
      <c r="W39" s="438"/>
      <c r="X39" s="438"/>
      <c r="Y39" s="438"/>
      <c r="Z39" s="438"/>
      <c r="AA39" s="439"/>
      <c r="AB39" s="455"/>
      <c r="AC39" s="456"/>
      <c r="AD39" s="456"/>
      <c r="AE39" s="456"/>
      <c r="AF39" s="456"/>
      <c r="AG39" s="458"/>
      <c r="AH39" s="446"/>
      <c r="AI39" s="447"/>
      <c r="AJ39" s="447"/>
      <c r="AK39" s="447"/>
      <c r="AL39" s="447"/>
      <c r="AM39" s="448"/>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c r="A40" s="76"/>
      <c r="B40" s="477"/>
      <c r="C40" s="477"/>
      <c r="D40" s="478"/>
      <c r="E40" s="469"/>
      <c r="F40" s="470"/>
      <c r="G40" s="470"/>
      <c r="H40" s="470"/>
      <c r="I40" s="471"/>
      <c r="J40" s="428" t="str">
        <f ca="1">IF(AND('Mapa Riesgos'!$I$31="Muy Baja",'Mapa Riesgos'!$M$31="Leve"),CONCATENATE("R",'Mapa Riesgos'!$A$31),"")</f>
        <v/>
      </c>
      <c r="K40" s="429"/>
      <c r="L40" s="429" t="str">
        <f ca="1">IF(AND('Mapa Riesgos'!$I$37="Muy Baja",'Mapa Riesgos'!$M$37="Leve"),CONCATENATE("R",'Mapa Riesgos'!$A$37),"")</f>
        <v/>
      </c>
      <c r="M40" s="429"/>
      <c r="N40" s="429" t="str">
        <f ca="1">IF(AND('Mapa Riesgos'!$I$43="Muy Baja",'Mapa Riesgos'!$M$43="Leve"),CONCATENATE("R",'Mapa Riesgos'!$A$43),"")</f>
        <v/>
      </c>
      <c r="O40" s="430"/>
      <c r="P40" s="428" t="str">
        <f ca="1">IF(AND('Mapa Riesgos'!$I$31="Muy Baja",'Mapa Riesgos'!$M$31="Menor"),CONCATENATE("R",'Mapa Riesgos'!$A$31),"")</f>
        <v/>
      </c>
      <c r="Q40" s="429"/>
      <c r="R40" s="429" t="str">
        <f ca="1">IF(AND('Mapa Riesgos'!$I$37="Muy Baja",'Mapa Riesgos'!$M$37="Menor"),CONCATENATE("R",'Mapa Riesgos'!$A$37),"")</f>
        <v/>
      </c>
      <c r="S40" s="429"/>
      <c r="T40" s="429" t="str">
        <f ca="1">IF(AND('Mapa Riesgos'!$I$43="Muy Baja",'Mapa Riesgos'!$M$43="Menor"),CONCATENATE("R",'Mapa Riesgos'!$A$43),"")</f>
        <v/>
      </c>
      <c r="U40" s="430"/>
      <c r="V40" s="437" t="str">
        <f ca="1">IF(AND('Mapa Riesgos'!$I$31="Muy Baja",'Mapa Riesgos'!$M$31="Moderado"),CONCATENATE("R",'Mapa Riesgos'!$A$31),"")</f>
        <v/>
      </c>
      <c r="W40" s="438"/>
      <c r="X40" s="438" t="str">
        <f ca="1">IF(AND('Mapa Riesgos'!$I$37="Muy Baja",'Mapa Riesgos'!$M$37="Moderado"),CONCATENATE("R",'Mapa Riesgos'!$A$37),"")</f>
        <v/>
      </c>
      <c r="Y40" s="438"/>
      <c r="Z40" s="438" t="str">
        <f ca="1">IF(AND('Mapa Riesgos'!$I$43="Muy Baja",'Mapa Riesgos'!$M$43="Moderado"),CONCATENATE("R",'Mapa Riesgos'!$A$43),"")</f>
        <v/>
      </c>
      <c r="AA40" s="439"/>
      <c r="AB40" s="455" t="str">
        <f ca="1">IF(AND('Mapa Riesgos'!$I$31="Muy Baja",'Mapa Riesgos'!$M$31="Mayor"),CONCATENATE("R",'Mapa Riesgos'!$A$31),"")</f>
        <v>R4</v>
      </c>
      <c r="AC40" s="456"/>
      <c r="AD40" s="457" t="str">
        <f ca="1">IF(AND('Mapa Riesgos'!$I$37="Muy Baja",'Mapa Riesgos'!$M$37="Mayor"),CONCATENATE("R",'Mapa Riesgos'!$A$37),"")</f>
        <v/>
      </c>
      <c r="AE40" s="457"/>
      <c r="AF40" s="457" t="str">
        <f ca="1">IF(AND('Mapa Riesgos'!$I$43="Muy Baja",'Mapa Riesgos'!$M$43="Mayor"),CONCATENATE("R",'Mapa Riesgos'!$A$43),"")</f>
        <v/>
      </c>
      <c r="AG40" s="458"/>
      <c r="AH40" s="446" t="str">
        <f ca="1">IF(AND('Mapa Riesgos'!$I$31="Muy Baja",'Mapa Riesgos'!$M$31="Catastrófico"),CONCATENATE("R",'Mapa Riesgos'!$A$31),"")</f>
        <v/>
      </c>
      <c r="AI40" s="447"/>
      <c r="AJ40" s="447" t="str">
        <f ca="1">IF(AND('Mapa Riesgos'!$I$37="Muy Baja",'Mapa Riesgos'!$M$37="Catastrófico"),CONCATENATE("R",'Mapa Riesgos'!$A$37),"")</f>
        <v/>
      </c>
      <c r="AK40" s="447"/>
      <c r="AL40" s="447" t="str">
        <f ca="1">IF(AND('Mapa Riesgos'!$I$43="Muy Baja",'Mapa Riesgos'!$M$43="Catastrófico"),CONCATENATE("R",'Mapa Riesgos'!$A$43),"")</f>
        <v/>
      </c>
      <c r="AM40" s="448"/>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c r="A41" s="76"/>
      <c r="B41" s="477"/>
      <c r="C41" s="477"/>
      <c r="D41" s="478"/>
      <c r="E41" s="469"/>
      <c r="F41" s="470"/>
      <c r="G41" s="470"/>
      <c r="H41" s="470"/>
      <c r="I41" s="471"/>
      <c r="J41" s="428"/>
      <c r="K41" s="429"/>
      <c r="L41" s="429"/>
      <c r="M41" s="429"/>
      <c r="N41" s="429"/>
      <c r="O41" s="430"/>
      <c r="P41" s="428"/>
      <c r="Q41" s="429"/>
      <c r="R41" s="429"/>
      <c r="S41" s="429"/>
      <c r="T41" s="429"/>
      <c r="U41" s="430"/>
      <c r="V41" s="437"/>
      <c r="W41" s="438"/>
      <c r="X41" s="438"/>
      <c r="Y41" s="438"/>
      <c r="Z41" s="438"/>
      <c r="AA41" s="439"/>
      <c r="AB41" s="455"/>
      <c r="AC41" s="456"/>
      <c r="AD41" s="457"/>
      <c r="AE41" s="457"/>
      <c r="AF41" s="457"/>
      <c r="AG41" s="458"/>
      <c r="AH41" s="446"/>
      <c r="AI41" s="447"/>
      <c r="AJ41" s="447"/>
      <c r="AK41" s="447"/>
      <c r="AL41" s="447"/>
      <c r="AM41" s="448"/>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c r="A42" s="76"/>
      <c r="B42" s="477"/>
      <c r="C42" s="477"/>
      <c r="D42" s="478"/>
      <c r="E42" s="469"/>
      <c r="F42" s="470"/>
      <c r="G42" s="470"/>
      <c r="H42" s="470"/>
      <c r="I42" s="471"/>
      <c r="J42" s="428" t="str">
        <f ca="1">IF(AND('Mapa Riesgos'!$I$49="Muy Baja",'Mapa Riesgos'!$M$49="Leve"),CONCATENATE("R",'Mapa Riesgos'!$A$49),"")</f>
        <v/>
      </c>
      <c r="K42" s="429"/>
      <c r="L42" s="429" t="str">
        <f ca="1">IF(AND('Mapa Riesgos'!$I$55="Muy Baja",'Mapa Riesgos'!$M$55="Leve"),CONCATENATE("R",'Mapa Riesgos'!$A$55),"")</f>
        <v/>
      </c>
      <c r="M42" s="429"/>
      <c r="N42" s="429" t="str">
        <f ca="1">IF(AND('Mapa Riesgos'!$I$61="Muy Baja",'Mapa Riesgos'!$M$61="Leve"),CONCATENATE("R",'Mapa Riesgos'!$A$61),"")</f>
        <v/>
      </c>
      <c r="O42" s="430"/>
      <c r="P42" s="428" t="str">
        <f ca="1">IF(AND('Mapa Riesgos'!$I$49="Muy Baja",'Mapa Riesgos'!$M$49="Menor"),CONCATENATE("R",'Mapa Riesgos'!$A$49),"")</f>
        <v/>
      </c>
      <c r="Q42" s="429"/>
      <c r="R42" s="429" t="str">
        <f ca="1">IF(AND('Mapa Riesgos'!$I$55="Muy Baja",'Mapa Riesgos'!$M$55="Menor"),CONCATENATE("R",'Mapa Riesgos'!$A$55),"")</f>
        <v/>
      </c>
      <c r="S42" s="429"/>
      <c r="T42" s="429" t="str">
        <f ca="1">IF(AND('Mapa Riesgos'!$I$61="Muy Baja",'Mapa Riesgos'!$M$61="Menor"),CONCATENATE("R",'Mapa Riesgos'!$A$61),"")</f>
        <v/>
      </c>
      <c r="U42" s="430"/>
      <c r="V42" s="437" t="str">
        <f ca="1">IF(AND('Mapa Riesgos'!$I$49="Muy Baja",'Mapa Riesgos'!$M$49="Moderado"),CONCATENATE("R",'Mapa Riesgos'!$A$49),"")</f>
        <v/>
      </c>
      <c r="W42" s="438"/>
      <c r="X42" s="438" t="str">
        <f ca="1">IF(AND('Mapa Riesgos'!$I$55="Muy Baja",'Mapa Riesgos'!$M$55="Moderado"),CONCATENATE("R",'Mapa Riesgos'!$A$55),"")</f>
        <v>R8</v>
      </c>
      <c r="Y42" s="438"/>
      <c r="Z42" s="438" t="str">
        <f ca="1">IF(AND('Mapa Riesgos'!$I$61="Muy Baja",'Mapa Riesgos'!$M$61="Moderado"),CONCATENATE("R",'Mapa Riesgos'!$A$61),"")</f>
        <v>R9</v>
      </c>
      <c r="AA42" s="439"/>
      <c r="AB42" s="455" t="str">
        <f ca="1">IF(AND('Mapa Riesgos'!$I$49="Muy Baja",'Mapa Riesgos'!$M$49="Mayor"),CONCATENATE("R",'Mapa Riesgos'!$A$49),"")</f>
        <v/>
      </c>
      <c r="AC42" s="456"/>
      <c r="AD42" s="457" t="str">
        <f ca="1">IF(AND('Mapa Riesgos'!$I$55="Muy Baja",'Mapa Riesgos'!$M$55="Mayor"),CONCATENATE("R",'Mapa Riesgos'!$A$55),"")</f>
        <v/>
      </c>
      <c r="AE42" s="457"/>
      <c r="AF42" s="457" t="str">
        <f ca="1">IF(AND('Mapa Riesgos'!$I$61="Muy Baja",'Mapa Riesgos'!$M$61="Mayor"),CONCATENATE("R",'Mapa Riesgos'!$A$61),"")</f>
        <v/>
      </c>
      <c r="AG42" s="458"/>
      <c r="AH42" s="446" t="str">
        <f ca="1">IF(AND('Mapa Riesgos'!$I$49="Muy Baja",'Mapa Riesgos'!$M$49="Catastrófico"),CONCATENATE("R",'Mapa Riesgos'!$A$49),"")</f>
        <v/>
      </c>
      <c r="AI42" s="447"/>
      <c r="AJ42" s="447" t="str">
        <f ca="1">IF(AND('Mapa Riesgos'!$I$55="Muy Baja",'Mapa Riesgos'!$M$55="Catastrófico"),CONCATENATE("R",'Mapa Riesgos'!$A$55),"")</f>
        <v/>
      </c>
      <c r="AK42" s="447"/>
      <c r="AL42" s="447" t="str">
        <f ca="1">IF(AND('Mapa Riesgos'!$I$61="Muy Baja",'Mapa Riesgos'!$M$61="Catastrófico"),CONCATENATE("R",'Mapa Riesgos'!$A$61),"")</f>
        <v/>
      </c>
      <c r="AM42" s="448"/>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c r="A43" s="76"/>
      <c r="B43" s="477"/>
      <c r="C43" s="477"/>
      <c r="D43" s="478"/>
      <c r="E43" s="469"/>
      <c r="F43" s="470"/>
      <c r="G43" s="470"/>
      <c r="H43" s="470"/>
      <c r="I43" s="471"/>
      <c r="J43" s="428"/>
      <c r="K43" s="429"/>
      <c r="L43" s="429"/>
      <c r="M43" s="429"/>
      <c r="N43" s="429"/>
      <c r="O43" s="430"/>
      <c r="P43" s="428"/>
      <c r="Q43" s="429"/>
      <c r="R43" s="429"/>
      <c r="S43" s="429"/>
      <c r="T43" s="429"/>
      <c r="U43" s="430"/>
      <c r="V43" s="437"/>
      <c r="W43" s="438"/>
      <c r="X43" s="438"/>
      <c r="Y43" s="438"/>
      <c r="Z43" s="438"/>
      <c r="AA43" s="439"/>
      <c r="AB43" s="455"/>
      <c r="AC43" s="456"/>
      <c r="AD43" s="457"/>
      <c r="AE43" s="457"/>
      <c r="AF43" s="457"/>
      <c r="AG43" s="458"/>
      <c r="AH43" s="446"/>
      <c r="AI43" s="447"/>
      <c r="AJ43" s="447"/>
      <c r="AK43" s="447"/>
      <c r="AL43" s="447"/>
      <c r="AM43" s="448"/>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c r="A44" s="76"/>
      <c r="B44" s="477"/>
      <c r="C44" s="477"/>
      <c r="D44" s="478"/>
      <c r="E44" s="469"/>
      <c r="F44" s="470"/>
      <c r="G44" s="470"/>
      <c r="H44" s="470"/>
      <c r="I44" s="471"/>
      <c r="J44" s="428" t="str">
        <f>IF(AND('Mapa Riesgos'!$I$67="Muy Baja",'Mapa Riesgos'!$M$67="Leve"),CONCATENATE("R",'Mapa Riesgos'!$A$67),"")</f>
        <v/>
      </c>
      <c r="K44" s="429"/>
      <c r="L44" s="429" t="e">
        <f>IF(AND('Mapa Riesgos'!#REF!="Muy Baja",'Mapa Riesgos'!#REF!="Leve"),CONCATENATE("R",'Mapa Riesgos'!#REF!),"")</f>
        <v>#REF!</v>
      </c>
      <c r="M44" s="429"/>
      <c r="N44" s="429" t="str">
        <f>IF(AND('Mapa Riesgos'!$I$77="Muy Baja",'Mapa Riesgos'!$M$77="Leve"),CONCATENATE("R",'Mapa Riesgos'!$A$77),"")</f>
        <v/>
      </c>
      <c r="O44" s="430"/>
      <c r="P44" s="428" t="str">
        <f>IF(AND('Mapa Riesgos'!$I$67="Muy Baja",'Mapa Riesgos'!$M$67="Menor"),CONCATENATE("R",'Mapa Riesgos'!$A$67),"")</f>
        <v/>
      </c>
      <c r="Q44" s="429"/>
      <c r="R44" s="429" t="e">
        <f>IF(AND('Mapa Riesgos'!#REF!="Muy Baja",'Mapa Riesgos'!#REF!="Menor"),CONCATENATE("R",'Mapa Riesgos'!#REF!),"")</f>
        <v>#REF!</v>
      </c>
      <c r="S44" s="429"/>
      <c r="T44" s="429" t="str">
        <f>IF(AND('Mapa Riesgos'!$I$77="Muy Baja",'Mapa Riesgos'!$M$77="Menor"),CONCATENATE("R",'Mapa Riesgos'!$A$77),"")</f>
        <v/>
      </c>
      <c r="U44" s="430"/>
      <c r="V44" s="437" t="str">
        <f>IF(AND('Mapa Riesgos'!$I$67="Muy Baja",'Mapa Riesgos'!$M$67="Moderado"),CONCATENATE("R",'Mapa Riesgos'!$A$67),"")</f>
        <v/>
      </c>
      <c r="W44" s="438"/>
      <c r="X44" s="438" t="e">
        <f>IF(AND('Mapa Riesgos'!#REF!="Muy Baja",'Mapa Riesgos'!#REF!="Moderado"),CONCATENATE("R",'Mapa Riesgos'!#REF!),"")</f>
        <v>#REF!</v>
      </c>
      <c r="Y44" s="438"/>
      <c r="Z44" s="438" t="str">
        <f>IF(AND('Mapa Riesgos'!$I$77="Muy Baja",'Mapa Riesgos'!$M$77="Moderado"),CONCATENATE("R",'Mapa Riesgos'!$A$77),"")</f>
        <v/>
      </c>
      <c r="AA44" s="439"/>
      <c r="AB44" s="455" t="str">
        <f>IF(AND('Mapa Riesgos'!$I$67="Muy Baja",'Mapa Riesgos'!$M$67="Mayor"),CONCATENATE("R",'Mapa Riesgos'!$A$67),"")</f>
        <v/>
      </c>
      <c r="AC44" s="456"/>
      <c r="AD44" s="457" t="e">
        <f>IF(AND('Mapa Riesgos'!#REF!="Muy Baja",'Mapa Riesgos'!#REF!="Mayor"),CONCATENATE("R",'Mapa Riesgos'!#REF!),"")</f>
        <v>#REF!</v>
      </c>
      <c r="AE44" s="457"/>
      <c r="AF44" s="457" t="str">
        <f>IF(AND('Mapa Riesgos'!$I$77="Muy Baja",'Mapa Riesgos'!$M$77="Mayor"),CONCATENATE("R",'Mapa Riesgos'!$A$77),"")</f>
        <v/>
      </c>
      <c r="AG44" s="458"/>
      <c r="AH44" s="446" t="str">
        <f>IF(AND('Mapa Riesgos'!$I$67="Muy Baja",'Mapa Riesgos'!$M$67="Catastrófico"),CONCATENATE("R",'Mapa Riesgos'!$A$67),"")</f>
        <v/>
      </c>
      <c r="AI44" s="447"/>
      <c r="AJ44" s="447" t="e">
        <f>IF(AND('Mapa Riesgos'!#REF!="Muy Baja",'Mapa Riesgos'!#REF!="Catastrófico"),CONCATENATE("R",'Mapa Riesgos'!#REF!),"")</f>
        <v>#REF!</v>
      </c>
      <c r="AK44" s="447"/>
      <c r="AL44" s="447" t="str">
        <f>IF(AND('Mapa Riesgos'!$I$77="Muy Baja",'Mapa Riesgos'!$M$77="Catastrófico"),CONCATENATE("R",'Mapa Riesgos'!$A$77),"")</f>
        <v/>
      </c>
      <c r="AM44" s="448"/>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c r="A45" s="76"/>
      <c r="B45" s="477"/>
      <c r="C45" s="477"/>
      <c r="D45" s="478"/>
      <c r="E45" s="472"/>
      <c r="F45" s="473"/>
      <c r="G45" s="473"/>
      <c r="H45" s="473"/>
      <c r="I45" s="474"/>
      <c r="J45" s="431"/>
      <c r="K45" s="432"/>
      <c r="L45" s="432"/>
      <c r="M45" s="432"/>
      <c r="N45" s="432"/>
      <c r="O45" s="433"/>
      <c r="P45" s="431"/>
      <c r="Q45" s="432"/>
      <c r="R45" s="432"/>
      <c r="S45" s="432"/>
      <c r="T45" s="432"/>
      <c r="U45" s="433"/>
      <c r="V45" s="440"/>
      <c r="W45" s="441"/>
      <c r="X45" s="441"/>
      <c r="Y45" s="441"/>
      <c r="Z45" s="441"/>
      <c r="AA45" s="442"/>
      <c r="AB45" s="459"/>
      <c r="AC45" s="460"/>
      <c r="AD45" s="460"/>
      <c r="AE45" s="460"/>
      <c r="AF45" s="460"/>
      <c r="AG45" s="461"/>
      <c r="AH45" s="449"/>
      <c r="AI45" s="450"/>
      <c r="AJ45" s="450"/>
      <c r="AK45" s="450"/>
      <c r="AL45" s="450"/>
      <c r="AM45" s="451"/>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c r="A46" s="76"/>
      <c r="B46" s="76"/>
      <c r="C46" s="76"/>
      <c r="D46" s="76"/>
      <c r="E46" s="76"/>
      <c r="F46" s="76"/>
      <c r="G46" s="76"/>
      <c r="H46" s="76"/>
      <c r="I46" s="76"/>
      <c r="J46" s="466" t="s">
        <v>104</v>
      </c>
      <c r="K46" s="467"/>
      <c r="L46" s="467"/>
      <c r="M46" s="467"/>
      <c r="N46" s="467"/>
      <c r="O46" s="468"/>
      <c r="P46" s="466" t="s">
        <v>103</v>
      </c>
      <c r="Q46" s="467"/>
      <c r="R46" s="467"/>
      <c r="S46" s="467"/>
      <c r="T46" s="467"/>
      <c r="U46" s="468"/>
      <c r="V46" s="466" t="s">
        <v>102</v>
      </c>
      <c r="W46" s="467"/>
      <c r="X46" s="467"/>
      <c r="Y46" s="467"/>
      <c r="Z46" s="467"/>
      <c r="AA46" s="468"/>
      <c r="AB46" s="466" t="s">
        <v>101</v>
      </c>
      <c r="AC46" s="476"/>
      <c r="AD46" s="467"/>
      <c r="AE46" s="467"/>
      <c r="AF46" s="467"/>
      <c r="AG46" s="468"/>
      <c r="AH46" s="466" t="s">
        <v>100</v>
      </c>
      <c r="AI46" s="467"/>
      <c r="AJ46" s="467"/>
      <c r="AK46" s="467"/>
      <c r="AL46" s="467"/>
      <c r="AM46" s="468"/>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c r="A47" s="76"/>
      <c r="B47" s="76"/>
      <c r="C47" s="76"/>
      <c r="D47" s="76"/>
      <c r="E47" s="76"/>
      <c r="F47" s="76"/>
      <c r="G47" s="76"/>
      <c r="H47" s="76"/>
      <c r="I47" s="76"/>
      <c r="J47" s="469"/>
      <c r="K47" s="470"/>
      <c r="L47" s="470"/>
      <c r="M47" s="470"/>
      <c r="N47" s="470"/>
      <c r="O47" s="471"/>
      <c r="P47" s="469"/>
      <c r="Q47" s="470"/>
      <c r="R47" s="470"/>
      <c r="S47" s="470"/>
      <c r="T47" s="470"/>
      <c r="U47" s="471"/>
      <c r="V47" s="469"/>
      <c r="W47" s="470"/>
      <c r="X47" s="470"/>
      <c r="Y47" s="470"/>
      <c r="Z47" s="470"/>
      <c r="AA47" s="471"/>
      <c r="AB47" s="469"/>
      <c r="AC47" s="470"/>
      <c r="AD47" s="470"/>
      <c r="AE47" s="470"/>
      <c r="AF47" s="470"/>
      <c r="AG47" s="471"/>
      <c r="AH47" s="469"/>
      <c r="AI47" s="470"/>
      <c r="AJ47" s="470"/>
      <c r="AK47" s="470"/>
      <c r="AL47" s="470"/>
      <c r="AM47" s="471"/>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c r="A48" s="76"/>
      <c r="B48" s="76"/>
      <c r="C48" s="76"/>
      <c r="D48" s="76"/>
      <c r="E48" s="76"/>
      <c r="F48" s="76"/>
      <c r="G48" s="76"/>
      <c r="H48" s="76"/>
      <c r="I48" s="76"/>
      <c r="J48" s="469"/>
      <c r="K48" s="470"/>
      <c r="L48" s="470"/>
      <c r="M48" s="470"/>
      <c r="N48" s="470"/>
      <c r="O48" s="471"/>
      <c r="P48" s="469"/>
      <c r="Q48" s="470"/>
      <c r="R48" s="470"/>
      <c r="S48" s="470"/>
      <c r="T48" s="470"/>
      <c r="U48" s="471"/>
      <c r="V48" s="469"/>
      <c r="W48" s="470"/>
      <c r="X48" s="470"/>
      <c r="Y48" s="470"/>
      <c r="Z48" s="470"/>
      <c r="AA48" s="471"/>
      <c r="AB48" s="469"/>
      <c r="AC48" s="470"/>
      <c r="AD48" s="470"/>
      <c r="AE48" s="470"/>
      <c r="AF48" s="470"/>
      <c r="AG48" s="471"/>
      <c r="AH48" s="469"/>
      <c r="AI48" s="470"/>
      <c r="AJ48" s="470"/>
      <c r="AK48" s="470"/>
      <c r="AL48" s="470"/>
      <c r="AM48" s="471"/>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c r="A49" s="76"/>
      <c r="B49" s="76"/>
      <c r="C49" s="76"/>
      <c r="D49" s="76"/>
      <c r="E49" s="76"/>
      <c r="F49" s="76"/>
      <c r="G49" s="76"/>
      <c r="H49" s="76"/>
      <c r="I49" s="76"/>
      <c r="J49" s="469"/>
      <c r="K49" s="470"/>
      <c r="L49" s="470"/>
      <c r="M49" s="470"/>
      <c r="N49" s="470"/>
      <c r="O49" s="471"/>
      <c r="P49" s="469"/>
      <c r="Q49" s="470"/>
      <c r="R49" s="470"/>
      <c r="S49" s="470"/>
      <c r="T49" s="470"/>
      <c r="U49" s="471"/>
      <c r="V49" s="469"/>
      <c r="W49" s="470"/>
      <c r="X49" s="470"/>
      <c r="Y49" s="470"/>
      <c r="Z49" s="470"/>
      <c r="AA49" s="471"/>
      <c r="AB49" s="469"/>
      <c r="AC49" s="470"/>
      <c r="AD49" s="470"/>
      <c r="AE49" s="470"/>
      <c r="AF49" s="470"/>
      <c r="AG49" s="471"/>
      <c r="AH49" s="469"/>
      <c r="AI49" s="470"/>
      <c r="AJ49" s="470"/>
      <c r="AK49" s="470"/>
      <c r="AL49" s="470"/>
      <c r="AM49" s="471"/>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c r="A50" s="76"/>
      <c r="B50" s="76"/>
      <c r="C50" s="76"/>
      <c r="D50" s="76"/>
      <c r="E50" s="76"/>
      <c r="F50" s="76"/>
      <c r="G50" s="76"/>
      <c r="H50" s="76"/>
      <c r="I50" s="76"/>
      <c r="J50" s="469"/>
      <c r="K50" s="470"/>
      <c r="L50" s="470"/>
      <c r="M50" s="470"/>
      <c r="N50" s="470"/>
      <c r="O50" s="471"/>
      <c r="P50" s="469"/>
      <c r="Q50" s="470"/>
      <c r="R50" s="470"/>
      <c r="S50" s="470"/>
      <c r="T50" s="470"/>
      <c r="U50" s="471"/>
      <c r="V50" s="469"/>
      <c r="W50" s="470"/>
      <c r="X50" s="470"/>
      <c r="Y50" s="470"/>
      <c r="Z50" s="470"/>
      <c r="AA50" s="471"/>
      <c r="AB50" s="469"/>
      <c r="AC50" s="470"/>
      <c r="AD50" s="470"/>
      <c r="AE50" s="470"/>
      <c r="AF50" s="470"/>
      <c r="AG50" s="471"/>
      <c r="AH50" s="469"/>
      <c r="AI50" s="470"/>
      <c r="AJ50" s="470"/>
      <c r="AK50" s="470"/>
      <c r="AL50" s="470"/>
      <c r="AM50" s="471"/>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c r="A51" s="76"/>
      <c r="B51" s="76"/>
      <c r="C51" s="76"/>
      <c r="D51" s="76"/>
      <c r="E51" s="76"/>
      <c r="F51" s="76"/>
      <c r="G51" s="76"/>
      <c r="H51" s="76"/>
      <c r="I51" s="76"/>
      <c r="J51" s="472"/>
      <c r="K51" s="473"/>
      <c r="L51" s="473"/>
      <c r="M51" s="473"/>
      <c r="N51" s="473"/>
      <c r="O51" s="474"/>
      <c r="P51" s="472"/>
      <c r="Q51" s="473"/>
      <c r="R51" s="473"/>
      <c r="S51" s="473"/>
      <c r="T51" s="473"/>
      <c r="U51" s="474"/>
      <c r="V51" s="472"/>
      <c r="W51" s="473"/>
      <c r="X51" s="473"/>
      <c r="Y51" s="473"/>
      <c r="Z51" s="473"/>
      <c r="AA51" s="474"/>
      <c r="AB51" s="472"/>
      <c r="AC51" s="473"/>
      <c r="AD51" s="473"/>
      <c r="AE51" s="473"/>
      <c r="AF51" s="473"/>
      <c r="AG51" s="474"/>
      <c r="AH51" s="472"/>
      <c r="AI51" s="473"/>
      <c r="AJ51" s="473"/>
      <c r="AK51" s="473"/>
      <c r="AL51" s="473"/>
      <c r="AM51" s="474"/>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c r="B137" s="76"/>
      <c r="C137" s="76"/>
      <c r="D137" s="76"/>
      <c r="E137" s="76"/>
      <c r="F137" s="76"/>
      <c r="G137" s="76"/>
      <c r="H137" s="76"/>
      <c r="I137" s="76"/>
    </row>
    <row r="138" spans="2:63">
      <c r="B138" s="76"/>
      <c r="C138" s="76"/>
      <c r="D138" s="76"/>
      <c r="E138" s="76"/>
      <c r="F138" s="76"/>
      <c r="G138" s="76"/>
      <c r="H138" s="76"/>
      <c r="I138" s="76"/>
    </row>
    <row r="139" spans="2:63">
      <c r="B139" s="76"/>
      <c r="C139" s="76"/>
      <c r="D139" s="76"/>
      <c r="E139" s="76"/>
      <c r="F139" s="76"/>
      <c r="G139" s="76"/>
      <c r="H139" s="76"/>
      <c r="I139" s="76"/>
    </row>
    <row r="140" spans="2:63">
      <c r="B140" s="76"/>
      <c r="C140" s="76"/>
      <c r="D140" s="76"/>
      <c r="E140" s="76"/>
      <c r="F140" s="76"/>
      <c r="G140" s="76"/>
      <c r="H140" s="76"/>
      <c r="I140" s="76"/>
    </row>
  </sheetData>
  <sheetProtection algorithmName="SHA-512" hashValue="6pD5pDh7iV6U+Upc6pYrMu0zBEFRgFokE0aP0vdTqMec2AU0QS0hJgWvZmDuQ+mL1/Q+187Mxh2grIQk97wONg==" saltValue="B7e0PGX6/VsVGHq/RSV4+A=="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topLeftCell="B15" zoomScale="50" zoomScaleNormal="50" workbookViewId="0">
      <selection activeCell="B6" sqref="B6:D55"/>
    </sheetView>
  </sheetViews>
  <sheetFormatPr baseColWidth="10"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c r="A2" s="76"/>
      <c r="B2" s="545" t="s">
        <v>146</v>
      </c>
      <c r="C2" s="546"/>
      <c r="D2" s="546"/>
      <c r="E2" s="546"/>
      <c r="F2" s="546"/>
      <c r="G2" s="546"/>
      <c r="H2" s="546"/>
      <c r="I2" s="546"/>
      <c r="J2" s="465" t="s">
        <v>2</v>
      </c>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c r="A3" s="76"/>
      <c r="B3" s="546"/>
      <c r="C3" s="546"/>
      <c r="D3" s="546"/>
      <c r="E3" s="546"/>
      <c r="F3" s="546"/>
      <c r="G3" s="546"/>
      <c r="H3" s="546"/>
      <c r="I3" s="546"/>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c r="A4" s="76"/>
      <c r="B4" s="546"/>
      <c r="C4" s="546"/>
      <c r="D4" s="546"/>
      <c r="E4" s="546"/>
      <c r="F4" s="546"/>
      <c r="G4" s="546"/>
      <c r="H4" s="546"/>
      <c r="I4" s="546"/>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c r="A6" s="76"/>
      <c r="B6" s="477" t="s">
        <v>4</v>
      </c>
      <c r="C6" s="477"/>
      <c r="D6" s="478"/>
      <c r="E6" s="515" t="s">
        <v>108</v>
      </c>
      <c r="F6" s="516"/>
      <c r="G6" s="516"/>
      <c r="H6" s="516"/>
      <c r="I6" s="517"/>
      <c r="J6" s="38" t="str">
        <f ca="1">IF(AND('Mapa Riesgos'!$Z$13="Muy Alta",'Mapa Riesgos'!$AB$13="Leve"),CONCATENATE("R1C",'Mapa Riesgos'!$P$13),"")</f>
        <v/>
      </c>
      <c r="K6" s="39" t="str">
        <f>IF(AND('Mapa Riesgos'!$Z$14="Muy Alta",'Mapa Riesgos'!$AB$14="Leve"),CONCATENATE("R1C",'Mapa Riesgos'!$P$14),"")</f>
        <v/>
      </c>
      <c r="L6" s="39" t="str">
        <f>IF(AND('Mapa Riesgos'!$Z$15="Muy Alta",'Mapa Riesgos'!$AB$15="Leve"),CONCATENATE("R1C",'Mapa Riesgos'!$P$15),"")</f>
        <v/>
      </c>
      <c r="M6" s="39" t="str">
        <f>IF(AND('Mapa Riesgos'!$Z$16="Muy Alta",'Mapa Riesgos'!$AB$16="Leve"),CONCATENATE("R1C",'Mapa Riesgos'!$P$16),"")</f>
        <v/>
      </c>
      <c r="N6" s="39" t="str">
        <f>IF(AND('Mapa Riesgos'!$Z$17="Muy Alta",'Mapa Riesgos'!$AB$17="Leve"),CONCATENATE("R1C",'Mapa Riesgos'!$P$17),"")</f>
        <v/>
      </c>
      <c r="O6" s="40" t="str">
        <f>IF(AND('Mapa Riesgos'!$Z$18="Muy Alta",'Mapa Riesgos'!$AB$18="Leve"),CONCATENATE("R1C",'Mapa Riesgos'!$P$18),"")</f>
        <v/>
      </c>
      <c r="P6" s="38" t="str">
        <f ca="1">IF(AND('Mapa Riesgos'!$Z$13="Muy Alta",'Mapa Riesgos'!$AB$13="Menor"),CONCATENATE("R1C",'Mapa Riesgos'!$P$13),"")</f>
        <v/>
      </c>
      <c r="Q6" s="39" t="str">
        <f>IF(AND('Mapa Riesgos'!$Z$14="Muy Alta",'Mapa Riesgos'!$AB$14="Menor"),CONCATENATE("R1C",'Mapa Riesgos'!$P$14),"")</f>
        <v/>
      </c>
      <c r="R6" s="39" t="str">
        <f>IF(AND('Mapa Riesgos'!$Z$15="Muy Alta",'Mapa Riesgos'!$AB$15="Menor"),CONCATENATE("R1C",'Mapa Riesgos'!$P$15),"")</f>
        <v/>
      </c>
      <c r="S6" s="39" t="str">
        <f>IF(AND('Mapa Riesgos'!$Z$16="Muy Alta",'Mapa Riesgos'!$AB$16="Menor"),CONCATENATE("R1C",'Mapa Riesgos'!$P$16),"")</f>
        <v/>
      </c>
      <c r="T6" s="39" t="str">
        <f>IF(AND('Mapa Riesgos'!$Z$17="Muy Alta",'Mapa Riesgos'!$AB$17="Menor"),CONCATENATE("R1C",'Mapa Riesgos'!$P$17),"")</f>
        <v/>
      </c>
      <c r="U6" s="40" t="str">
        <f>IF(AND('Mapa Riesgos'!$Z$18="Muy Alta",'Mapa Riesgos'!$AB$18="Menor"),CONCATENATE("R1C",'Mapa Riesgos'!$P$18),"")</f>
        <v/>
      </c>
      <c r="V6" s="38" t="str">
        <f ca="1">IF(AND('Mapa Riesgos'!$Z$13="Muy Alta",'Mapa Riesgos'!$AB$13="Moderado"),CONCATENATE("R1C",'Mapa Riesgos'!$P$13),"")</f>
        <v/>
      </c>
      <c r="W6" s="39" t="str">
        <f>IF(AND('Mapa Riesgos'!$Z$14="Muy Alta",'Mapa Riesgos'!$AB$14="Moderado"),CONCATENATE("R1C",'Mapa Riesgos'!$P$14),"")</f>
        <v/>
      </c>
      <c r="X6" s="39" t="str">
        <f>IF(AND('Mapa Riesgos'!$Z$15="Muy Alta",'Mapa Riesgos'!$AB$15="Moderado"),CONCATENATE("R1C",'Mapa Riesgos'!$P$15),"")</f>
        <v/>
      </c>
      <c r="Y6" s="39" t="str">
        <f>IF(AND('Mapa Riesgos'!$Z$16="Muy Alta",'Mapa Riesgos'!$AB$16="Moderado"),CONCATENATE("R1C",'Mapa Riesgos'!$P$16),"")</f>
        <v/>
      </c>
      <c r="Z6" s="39" t="str">
        <f>IF(AND('Mapa Riesgos'!$Z$17="Muy Alta",'Mapa Riesgos'!$AB$17="Moderado"),CONCATENATE("R1C",'Mapa Riesgos'!$P$17),"")</f>
        <v/>
      </c>
      <c r="AA6" s="40" t="str">
        <f>IF(AND('Mapa Riesgos'!$Z$18="Muy Alta",'Mapa Riesgos'!$AB$18="Moderado"),CONCATENATE("R1C",'Mapa Riesgos'!$P$18),"")</f>
        <v/>
      </c>
      <c r="AB6" s="38" t="str">
        <f ca="1">IF(AND('Mapa Riesgos'!$Z$13="Muy Alta",'Mapa Riesgos'!$AB$13="Mayor"),CONCATENATE("R1C",'Mapa Riesgos'!$P$13),"")</f>
        <v/>
      </c>
      <c r="AC6" s="39" t="str">
        <f>IF(AND('Mapa Riesgos'!$Z$14="Muy Alta",'Mapa Riesgos'!$AB$14="Mayor"),CONCATENATE("R1C",'Mapa Riesgos'!$P$14),"")</f>
        <v/>
      </c>
      <c r="AD6" s="39" t="str">
        <f>IF(AND('Mapa Riesgos'!$Z$15="Muy Alta",'Mapa Riesgos'!$AB$15="Mayor"),CONCATENATE("R1C",'Mapa Riesgos'!$P$15),"")</f>
        <v/>
      </c>
      <c r="AE6" s="39" t="str">
        <f>IF(AND('Mapa Riesgos'!$Z$16="Muy Alta",'Mapa Riesgos'!$AB$16="Mayor"),CONCATENATE("R1C",'Mapa Riesgos'!$P$16),"")</f>
        <v/>
      </c>
      <c r="AF6" s="39" t="str">
        <f>IF(AND('Mapa Riesgos'!$Z$17="Muy Alta",'Mapa Riesgos'!$AB$17="Mayor"),CONCATENATE("R1C",'Mapa Riesgos'!$P$17),"")</f>
        <v/>
      </c>
      <c r="AG6" s="40" t="str">
        <f>IF(AND('Mapa Riesgos'!$Z$18="Muy Alta",'Mapa Riesgos'!$AB$18="Mayor"),CONCATENATE("R1C",'Mapa Riesgos'!$P$18),"")</f>
        <v/>
      </c>
      <c r="AH6" s="41" t="str">
        <f ca="1">IF(AND('Mapa Riesgos'!$Z$13="Muy Alta",'Mapa Riesgos'!$AB$13="Catastrófico"),CONCATENATE("R1C",'Mapa Riesgos'!$P$13),"")</f>
        <v/>
      </c>
      <c r="AI6" s="42" t="str">
        <f>IF(AND('Mapa Riesgos'!$Z$14="Muy Alta",'Mapa Riesgos'!$AB$14="Catastrófico"),CONCATENATE("R1C",'Mapa Riesgos'!$P$14),"")</f>
        <v/>
      </c>
      <c r="AJ6" s="42" t="str">
        <f>IF(AND('Mapa Riesgos'!$Z$15="Muy Alta",'Mapa Riesgos'!$AB$15="Catastrófico"),CONCATENATE("R1C",'Mapa Riesgos'!$P$15),"")</f>
        <v/>
      </c>
      <c r="AK6" s="42" t="str">
        <f>IF(AND('Mapa Riesgos'!$Z$16="Muy Alta",'Mapa Riesgos'!$AB$16="Catastrófico"),CONCATENATE("R1C",'Mapa Riesgos'!$P$16),"")</f>
        <v/>
      </c>
      <c r="AL6" s="42" t="str">
        <f>IF(AND('Mapa Riesgos'!$Z$17="Muy Alta",'Mapa Riesgos'!$AB$17="Catastrófico"),CONCATENATE("R1C",'Mapa Riesgos'!$P$17),"")</f>
        <v/>
      </c>
      <c r="AM6" s="43" t="str">
        <f>IF(AND('Mapa Riesgos'!$Z$18="Muy Alta",'Mapa Riesgos'!$AB$18="Catastrófico"),CONCATENATE("R1C",'Mapa Riesgos'!$P$18),"")</f>
        <v/>
      </c>
      <c r="AN6" s="76"/>
      <c r="AO6" s="536" t="s">
        <v>75</v>
      </c>
      <c r="AP6" s="537"/>
      <c r="AQ6" s="537"/>
      <c r="AR6" s="537"/>
      <c r="AS6" s="537"/>
      <c r="AT6" s="538"/>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c r="A7" s="76"/>
      <c r="B7" s="477"/>
      <c r="C7" s="477"/>
      <c r="D7" s="478"/>
      <c r="E7" s="518"/>
      <c r="F7" s="519"/>
      <c r="G7" s="519"/>
      <c r="H7" s="519"/>
      <c r="I7" s="520"/>
      <c r="J7" s="44" t="str">
        <f ca="1">IF(AND('Mapa Riesgos'!$Z$19="Muy Alta",'Mapa Riesgos'!$AB$19="Leve"),CONCATENATE("R2C",'Mapa Riesgos'!$P$19),"")</f>
        <v/>
      </c>
      <c r="K7" s="45" t="str">
        <f ca="1">IF(AND('Mapa Riesgos'!$Z$20="Muy Alta",'Mapa Riesgos'!$AB$20="Leve"),CONCATENATE("R2C",'Mapa Riesgos'!$P$20),"")</f>
        <v/>
      </c>
      <c r="L7" s="45" t="str">
        <f>IF(AND('Mapa Riesgos'!$Z$21="Muy Alta",'Mapa Riesgos'!$AB$21="Leve"),CONCATENATE("R2C",'Mapa Riesgos'!$P$21),"")</f>
        <v/>
      </c>
      <c r="M7" s="45" t="str">
        <f>IF(AND('Mapa Riesgos'!$Z$22="Muy Alta",'Mapa Riesgos'!$AB$22="Leve"),CONCATENATE("R2C",'Mapa Riesgos'!$P$22),"")</f>
        <v/>
      </c>
      <c r="N7" s="45" t="str">
        <f>IF(AND('Mapa Riesgos'!$Z$23="Muy Alta",'Mapa Riesgos'!$AB$23="Leve"),CONCATENATE("R2C",'Mapa Riesgos'!$P$23),"")</f>
        <v/>
      </c>
      <c r="O7" s="46" t="str">
        <f>IF(AND('Mapa Riesgos'!$Z$24="Muy Alta",'Mapa Riesgos'!$AB$24="Leve"),CONCATENATE("R2C",'Mapa Riesgos'!$P$24),"")</f>
        <v/>
      </c>
      <c r="P7" s="44" t="str">
        <f ca="1">IF(AND('Mapa Riesgos'!$Z$19="Muy Alta",'Mapa Riesgos'!$AB$19="Menor"),CONCATENATE("R2C",'Mapa Riesgos'!$P$19),"")</f>
        <v/>
      </c>
      <c r="Q7" s="45" t="str">
        <f ca="1">IF(AND('Mapa Riesgos'!$Z$20="Muy Alta",'Mapa Riesgos'!$AB$20="Menor"),CONCATENATE("R2C",'Mapa Riesgos'!$P$20),"")</f>
        <v/>
      </c>
      <c r="R7" s="45" t="str">
        <f>IF(AND('Mapa Riesgos'!$Z$21="Muy Alta",'Mapa Riesgos'!$AB$21="Menor"),CONCATENATE("R2C",'Mapa Riesgos'!$P$21),"")</f>
        <v/>
      </c>
      <c r="S7" s="45" t="str">
        <f>IF(AND('Mapa Riesgos'!$Z$22="Muy Alta",'Mapa Riesgos'!$AB$22="Menor"),CONCATENATE("R2C",'Mapa Riesgos'!$P$22),"")</f>
        <v/>
      </c>
      <c r="T7" s="45" t="str">
        <f>IF(AND('Mapa Riesgos'!$Z$23="Muy Alta",'Mapa Riesgos'!$AB$23="Menor"),CONCATENATE("R2C",'Mapa Riesgos'!$P$23),"")</f>
        <v/>
      </c>
      <c r="U7" s="46" t="str">
        <f>IF(AND('Mapa Riesgos'!$Z$24="Muy Alta",'Mapa Riesgos'!$AB$24="Menor"),CONCATENATE("R2C",'Mapa Riesgos'!$P$24),"")</f>
        <v/>
      </c>
      <c r="V7" s="44" t="str">
        <f ca="1">IF(AND('Mapa Riesgos'!$Z$19="Muy Alta",'Mapa Riesgos'!$AB$19="Moderado"),CONCATENATE("R2C",'Mapa Riesgos'!$P$19),"")</f>
        <v/>
      </c>
      <c r="W7" s="45" t="str">
        <f ca="1">IF(AND('Mapa Riesgos'!$Z$20="Muy Alta",'Mapa Riesgos'!$AB$20="Moderado"),CONCATENATE("R2C",'Mapa Riesgos'!$P$20),"")</f>
        <v/>
      </c>
      <c r="X7" s="45" t="str">
        <f>IF(AND('Mapa Riesgos'!$Z$21="Muy Alta",'Mapa Riesgos'!$AB$21="Moderado"),CONCATENATE("R2C",'Mapa Riesgos'!$P$21),"")</f>
        <v/>
      </c>
      <c r="Y7" s="45" t="str">
        <f>IF(AND('Mapa Riesgos'!$Z$22="Muy Alta",'Mapa Riesgos'!$AB$22="Moderado"),CONCATENATE("R2C",'Mapa Riesgos'!$P$22),"")</f>
        <v/>
      </c>
      <c r="Z7" s="45" t="str">
        <f>IF(AND('Mapa Riesgos'!$Z$23="Muy Alta",'Mapa Riesgos'!$AB$23="Moderado"),CONCATENATE("R2C",'Mapa Riesgos'!$P$23),"")</f>
        <v/>
      </c>
      <c r="AA7" s="46" t="str">
        <f>IF(AND('Mapa Riesgos'!$Z$24="Muy Alta",'Mapa Riesgos'!$AB$24="Moderado"),CONCATENATE("R2C",'Mapa Riesgos'!$P$24),"")</f>
        <v/>
      </c>
      <c r="AB7" s="44" t="str">
        <f ca="1">IF(AND('Mapa Riesgos'!$Z$19="Muy Alta",'Mapa Riesgos'!$AB$19="Mayor"),CONCATENATE("R2C",'Mapa Riesgos'!$P$19),"")</f>
        <v/>
      </c>
      <c r="AC7" s="45" t="str">
        <f ca="1">IF(AND('Mapa Riesgos'!$Z$20="Muy Alta",'Mapa Riesgos'!$AB$20="Mayor"),CONCATENATE("R2C",'Mapa Riesgos'!$P$20),"")</f>
        <v/>
      </c>
      <c r="AD7" s="45" t="str">
        <f>IF(AND('Mapa Riesgos'!$Z$21="Muy Alta",'Mapa Riesgos'!$AB$21="Mayor"),CONCATENATE("R2C",'Mapa Riesgos'!$P$21),"")</f>
        <v/>
      </c>
      <c r="AE7" s="45" t="str">
        <f>IF(AND('Mapa Riesgos'!$Z$22="Muy Alta",'Mapa Riesgos'!$AB$22="Mayor"),CONCATENATE("R2C",'Mapa Riesgos'!$P$22),"")</f>
        <v/>
      </c>
      <c r="AF7" s="45" t="str">
        <f>IF(AND('Mapa Riesgos'!$Z$23="Muy Alta",'Mapa Riesgos'!$AB$23="Mayor"),CONCATENATE("R2C",'Mapa Riesgos'!$P$23),"")</f>
        <v/>
      </c>
      <c r="AG7" s="46" t="str">
        <f>IF(AND('Mapa Riesgos'!$Z$24="Muy Alta",'Mapa Riesgos'!$AB$24="Mayor"),CONCATENATE("R2C",'Mapa Riesgos'!$P$24),"")</f>
        <v/>
      </c>
      <c r="AH7" s="47" t="str">
        <f ca="1">IF(AND('Mapa Riesgos'!$Z$19="Muy Alta",'Mapa Riesgos'!$AB$19="Catastrófico"),CONCATENATE("R2C",'Mapa Riesgos'!$P$19),"")</f>
        <v/>
      </c>
      <c r="AI7" s="48" t="str">
        <f ca="1">IF(AND('Mapa Riesgos'!$Z$20="Muy Alta",'Mapa Riesgos'!$AB$20="Catastrófico"),CONCATENATE("R2C",'Mapa Riesgos'!$P$20),"")</f>
        <v/>
      </c>
      <c r="AJ7" s="48" t="str">
        <f>IF(AND('Mapa Riesgos'!$Z$21="Muy Alta",'Mapa Riesgos'!$AB$21="Catastrófico"),CONCATENATE("R2C",'Mapa Riesgos'!$P$21),"")</f>
        <v/>
      </c>
      <c r="AK7" s="48" t="str">
        <f>IF(AND('Mapa Riesgos'!$Z$22="Muy Alta",'Mapa Riesgos'!$AB$22="Catastrófico"),CONCATENATE("R2C",'Mapa Riesgos'!$P$22),"")</f>
        <v/>
      </c>
      <c r="AL7" s="48" t="str">
        <f>IF(AND('Mapa Riesgos'!$Z$23="Muy Alta",'Mapa Riesgos'!$AB$23="Catastrófico"),CONCATENATE("R2C",'Mapa Riesgos'!$P$23),"")</f>
        <v/>
      </c>
      <c r="AM7" s="49" t="str">
        <f>IF(AND('Mapa Riesgos'!$Z$24="Muy Alta",'Mapa Riesgos'!$AB$24="Catastrófico"),CONCATENATE("R2C",'Mapa Riesgos'!$P$24),"")</f>
        <v/>
      </c>
      <c r="AN7" s="76"/>
      <c r="AO7" s="539"/>
      <c r="AP7" s="540"/>
      <c r="AQ7" s="540"/>
      <c r="AR7" s="540"/>
      <c r="AS7" s="540"/>
      <c r="AT7" s="541"/>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c r="A8" s="76"/>
      <c r="B8" s="477"/>
      <c r="C8" s="477"/>
      <c r="D8" s="478"/>
      <c r="E8" s="518"/>
      <c r="F8" s="519"/>
      <c r="G8" s="519"/>
      <c r="H8" s="519"/>
      <c r="I8" s="520"/>
      <c r="J8" s="44" t="str">
        <f ca="1">IF(AND('Mapa Riesgos'!$Z$25="Muy Alta",'Mapa Riesgos'!$AB$25="Leve"),CONCATENATE("R3C",'Mapa Riesgos'!$P$25),"")</f>
        <v/>
      </c>
      <c r="K8" s="45" t="str">
        <f ca="1">IF(AND('Mapa Riesgos'!$Z$26="Muy Alta",'Mapa Riesgos'!$AB$26="Leve"),CONCATENATE("R3C",'Mapa Riesgos'!$P$26),"")</f>
        <v/>
      </c>
      <c r="L8" s="45" t="str">
        <f>IF(AND('Mapa Riesgos'!$Z$27="Muy Alta",'Mapa Riesgos'!$AB$27="Leve"),CONCATENATE("R3C",'Mapa Riesgos'!$P$27),"")</f>
        <v/>
      </c>
      <c r="M8" s="45" t="str">
        <f>IF(AND('Mapa Riesgos'!$Z$28="Muy Alta",'Mapa Riesgos'!$AB$28="Leve"),CONCATENATE("R3C",'Mapa Riesgos'!$P$28),"")</f>
        <v/>
      </c>
      <c r="N8" s="45" t="str">
        <f>IF(AND('Mapa Riesgos'!$Z$29="Muy Alta",'Mapa Riesgos'!$AB$29="Leve"),CONCATENATE("R3C",'Mapa Riesgos'!$P$29),"")</f>
        <v/>
      </c>
      <c r="O8" s="46" t="str">
        <f>IF(AND('Mapa Riesgos'!$Z$30="Muy Alta",'Mapa Riesgos'!$AB$30="Leve"),CONCATENATE("R3C",'Mapa Riesgos'!$P$30),"")</f>
        <v/>
      </c>
      <c r="P8" s="44" t="str">
        <f ca="1">IF(AND('Mapa Riesgos'!$Z$25="Muy Alta",'Mapa Riesgos'!$AB$25="Menor"),CONCATENATE("R3C",'Mapa Riesgos'!$P$25),"")</f>
        <v/>
      </c>
      <c r="Q8" s="45" t="str">
        <f ca="1">IF(AND('Mapa Riesgos'!$Z$26="Muy Alta",'Mapa Riesgos'!$AB$26="Menor"),CONCATENATE("R3C",'Mapa Riesgos'!$P$26),"")</f>
        <v/>
      </c>
      <c r="R8" s="45" t="str">
        <f>IF(AND('Mapa Riesgos'!$Z$27="Muy Alta",'Mapa Riesgos'!$AB$27="Menor"),CONCATENATE("R3C",'Mapa Riesgos'!$P$27),"")</f>
        <v/>
      </c>
      <c r="S8" s="45" t="str">
        <f>IF(AND('Mapa Riesgos'!$Z$28="Muy Alta",'Mapa Riesgos'!$AB$28="Menor"),CONCATENATE("R3C",'Mapa Riesgos'!$P$28),"")</f>
        <v/>
      </c>
      <c r="T8" s="45" t="str">
        <f>IF(AND('Mapa Riesgos'!$Z$29="Muy Alta",'Mapa Riesgos'!$AB$29="Menor"),CONCATENATE("R3C",'Mapa Riesgos'!$P$29),"")</f>
        <v/>
      </c>
      <c r="U8" s="46" t="str">
        <f>IF(AND('Mapa Riesgos'!$Z$30="Muy Alta",'Mapa Riesgos'!$AB$30="Menor"),CONCATENATE("R3C",'Mapa Riesgos'!$P$30),"")</f>
        <v/>
      </c>
      <c r="V8" s="44" t="str">
        <f ca="1">IF(AND('Mapa Riesgos'!$Z$25="Muy Alta",'Mapa Riesgos'!$AB$25="Moderado"),CONCATENATE("R3C",'Mapa Riesgos'!$P$25),"")</f>
        <v/>
      </c>
      <c r="W8" s="45" t="str">
        <f ca="1">IF(AND('Mapa Riesgos'!$Z$26="Muy Alta",'Mapa Riesgos'!$AB$26="Moderado"),CONCATENATE("R3C",'Mapa Riesgos'!$P$26),"")</f>
        <v/>
      </c>
      <c r="X8" s="45" t="str">
        <f>IF(AND('Mapa Riesgos'!$Z$27="Muy Alta",'Mapa Riesgos'!$AB$27="Moderado"),CONCATENATE("R3C",'Mapa Riesgos'!$P$27),"")</f>
        <v/>
      </c>
      <c r="Y8" s="45" t="str">
        <f>IF(AND('Mapa Riesgos'!$Z$28="Muy Alta",'Mapa Riesgos'!$AB$28="Moderado"),CONCATENATE("R3C",'Mapa Riesgos'!$P$28),"")</f>
        <v/>
      </c>
      <c r="Z8" s="45" t="str">
        <f>IF(AND('Mapa Riesgos'!$Z$29="Muy Alta",'Mapa Riesgos'!$AB$29="Moderado"),CONCATENATE("R3C",'Mapa Riesgos'!$P$29),"")</f>
        <v/>
      </c>
      <c r="AA8" s="46" t="str">
        <f>IF(AND('Mapa Riesgos'!$Z$30="Muy Alta",'Mapa Riesgos'!$AB$30="Moderado"),CONCATENATE("R3C",'Mapa Riesgos'!$P$30),"")</f>
        <v/>
      </c>
      <c r="AB8" s="44" t="str">
        <f ca="1">IF(AND('Mapa Riesgos'!$Z$25="Muy Alta",'Mapa Riesgos'!$AB$25="Mayor"),CONCATENATE("R3C",'Mapa Riesgos'!$P$25),"")</f>
        <v/>
      </c>
      <c r="AC8" s="45" t="str">
        <f ca="1">IF(AND('Mapa Riesgos'!$Z$26="Muy Alta",'Mapa Riesgos'!$AB$26="Mayor"),CONCATENATE("R3C",'Mapa Riesgos'!$P$26),"")</f>
        <v/>
      </c>
      <c r="AD8" s="45" t="str">
        <f>IF(AND('Mapa Riesgos'!$Z$27="Muy Alta",'Mapa Riesgos'!$AB$27="Mayor"),CONCATENATE("R3C",'Mapa Riesgos'!$P$27),"")</f>
        <v/>
      </c>
      <c r="AE8" s="45" t="str">
        <f>IF(AND('Mapa Riesgos'!$Z$28="Muy Alta",'Mapa Riesgos'!$AB$28="Mayor"),CONCATENATE("R3C",'Mapa Riesgos'!$P$28),"")</f>
        <v/>
      </c>
      <c r="AF8" s="45" t="str">
        <f>IF(AND('Mapa Riesgos'!$Z$29="Muy Alta",'Mapa Riesgos'!$AB$29="Mayor"),CONCATENATE("R3C",'Mapa Riesgos'!$P$29),"")</f>
        <v/>
      </c>
      <c r="AG8" s="46" t="str">
        <f>IF(AND('Mapa Riesgos'!$Z$30="Muy Alta",'Mapa Riesgos'!$AB$30="Mayor"),CONCATENATE("R3C",'Mapa Riesgos'!$P$30),"")</f>
        <v/>
      </c>
      <c r="AH8" s="47" t="str">
        <f ca="1">IF(AND('Mapa Riesgos'!$Z$25="Muy Alta",'Mapa Riesgos'!$AB$25="Catastrófico"),CONCATENATE("R3C",'Mapa Riesgos'!$P$25),"")</f>
        <v/>
      </c>
      <c r="AI8" s="48" t="str">
        <f ca="1">IF(AND('Mapa Riesgos'!$Z$26="Muy Alta",'Mapa Riesgos'!$AB$26="Catastrófico"),CONCATENATE("R3C",'Mapa Riesgos'!$P$26),"")</f>
        <v/>
      </c>
      <c r="AJ8" s="48" t="str">
        <f>IF(AND('Mapa Riesgos'!$Z$27="Muy Alta",'Mapa Riesgos'!$AB$27="Catastrófico"),CONCATENATE("R3C",'Mapa Riesgos'!$P$27),"")</f>
        <v/>
      </c>
      <c r="AK8" s="48" t="str">
        <f>IF(AND('Mapa Riesgos'!$Z$28="Muy Alta",'Mapa Riesgos'!$AB$28="Catastrófico"),CONCATENATE("R3C",'Mapa Riesgos'!$P$28),"")</f>
        <v/>
      </c>
      <c r="AL8" s="48" t="str">
        <f>IF(AND('Mapa Riesgos'!$Z$29="Muy Alta",'Mapa Riesgos'!$AB$29="Catastrófico"),CONCATENATE("R3C",'Mapa Riesgos'!$P$29),"")</f>
        <v/>
      </c>
      <c r="AM8" s="49" t="str">
        <f>IF(AND('Mapa Riesgos'!$Z$30="Muy Alta",'Mapa Riesgos'!$AB$30="Catastrófico"),CONCATENATE("R3C",'Mapa Riesgos'!$P$30),"")</f>
        <v/>
      </c>
      <c r="AN8" s="76"/>
      <c r="AO8" s="539"/>
      <c r="AP8" s="540"/>
      <c r="AQ8" s="540"/>
      <c r="AR8" s="540"/>
      <c r="AS8" s="540"/>
      <c r="AT8" s="541"/>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c r="A9" s="76"/>
      <c r="B9" s="477"/>
      <c r="C9" s="477"/>
      <c r="D9" s="478"/>
      <c r="E9" s="518"/>
      <c r="F9" s="519"/>
      <c r="G9" s="519"/>
      <c r="H9" s="519"/>
      <c r="I9" s="520"/>
      <c r="J9" s="44" t="str">
        <f ca="1">IF(AND('Mapa Riesgos'!$Z$31="Muy Alta",'Mapa Riesgos'!$AB$31="Leve"),CONCATENATE("R4C",'Mapa Riesgos'!$P$31),"")</f>
        <v/>
      </c>
      <c r="K9" s="45" t="str">
        <f ca="1">IF(AND('Mapa Riesgos'!$Z$32="Muy Alta",'Mapa Riesgos'!$AB$32="Leve"),CONCATENATE("R4C",'Mapa Riesgos'!$P$32),"")</f>
        <v/>
      </c>
      <c r="L9" s="50" t="str">
        <f>IF(AND('Mapa Riesgos'!$Z$33="Muy Alta",'Mapa Riesgos'!$AB$33="Leve"),CONCATENATE("R4C",'Mapa Riesgos'!$P$33),"")</f>
        <v/>
      </c>
      <c r="M9" s="50" t="str">
        <f>IF(AND('Mapa Riesgos'!$Z$34="Muy Alta",'Mapa Riesgos'!$AB$34="Leve"),CONCATENATE("R4C",'Mapa Riesgos'!$P$34),"")</f>
        <v/>
      </c>
      <c r="N9" s="50" t="str">
        <f>IF(AND('Mapa Riesgos'!$Z$35="Muy Alta",'Mapa Riesgos'!$AB$35="Leve"),CONCATENATE("R4C",'Mapa Riesgos'!$P$35),"")</f>
        <v/>
      </c>
      <c r="O9" s="46" t="str">
        <f>IF(AND('Mapa Riesgos'!$Z$36="Muy Alta",'Mapa Riesgos'!$AB$36="Leve"),CONCATENATE("R4C",'Mapa Riesgos'!$P$36),"")</f>
        <v/>
      </c>
      <c r="P9" s="44" t="str">
        <f ca="1">IF(AND('Mapa Riesgos'!$Z$31="Muy Alta",'Mapa Riesgos'!$AB$31="Menor"),CONCATENATE("R4C",'Mapa Riesgos'!$P$31),"")</f>
        <v/>
      </c>
      <c r="Q9" s="45" t="str">
        <f ca="1">IF(AND('Mapa Riesgos'!$Z$32="Muy Alta",'Mapa Riesgos'!$AB$32="Menor"),CONCATENATE("R4C",'Mapa Riesgos'!$P$32),"")</f>
        <v/>
      </c>
      <c r="R9" s="50" t="str">
        <f>IF(AND('Mapa Riesgos'!$Z$33="Muy Alta",'Mapa Riesgos'!$AB$33="Menor"),CONCATENATE("R4C",'Mapa Riesgos'!$P$33),"")</f>
        <v/>
      </c>
      <c r="S9" s="50" t="str">
        <f>IF(AND('Mapa Riesgos'!$Z$34="Muy Alta",'Mapa Riesgos'!$AB$34="Menor"),CONCATENATE("R4C",'Mapa Riesgos'!$P$34),"")</f>
        <v/>
      </c>
      <c r="T9" s="50" t="str">
        <f>IF(AND('Mapa Riesgos'!$Z$35="Muy Alta",'Mapa Riesgos'!$AB$35="Menor"),CONCATENATE("R4C",'Mapa Riesgos'!$P$35),"")</f>
        <v/>
      </c>
      <c r="U9" s="46" t="str">
        <f>IF(AND('Mapa Riesgos'!$Z$36="Muy Alta",'Mapa Riesgos'!$AB$36="Menor"),CONCATENATE("R4C",'Mapa Riesgos'!$P$36),"")</f>
        <v/>
      </c>
      <c r="V9" s="44" t="str">
        <f ca="1">IF(AND('Mapa Riesgos'!$Z$31="Muy Alta",'Mapa Riesgos'!$AB$31="Moderado"),CONCATENATE("R4C",'Mapa Riesgos'!$P$31),"")</f>
        <v/>
      </c>
      <c r="W9" s="45" t="str">
        <f ca="1">IF(AND('Mapa Riesgos'!$Z$32="Muy Alta",'Mapa Riesgos'!$AB$32="Moderado"),CONCATENATE("R4C",'Mapa Riesgos'!$P$32),"")</f>
        <v/>
      </c>
      <c r="X9" s="50" t="str">
        <f>IF(AND('Mapa Riesgos'!$Z$33="Muy Alta",'Mapa Riesgos'!$AB$33="Moderado"),CONCATENATE("R4C",'Mapa Riesgos'!$P$33),"")</f>
        <v/>
      </c>
      <c r="Y9" s="50" t="str">
        <f>IF(AND('Mapa Riesgos'!$Z$34="Muy Alta",'Mapa Riesgos'!$AB$34="Moderado"),CONCATENATE("R4C",'Mapa Riesgos'!$P$34),"")</f>
        <v/>
      </c>
      <c r="Z9" s="50" t="str">
        <f>IF(AND('Mapa Riesgos'!$Z$35="Muy Alta",'Mapa Riesgos'!$AB$35="Moderado"),CONCATENATE("R4C",'Mapa Riesgos'!$P$35),"")</f>
        <v/>
      </c>
      <c r="AA9" s="46" t="str">
        <f>IF(AND('Mapa Riesgos'!$Z$36="Muy Alta",'Mapa Riesgos'!$AB$36="Moderado"),CONCATENATE("R4C",'Mapa Riesgos'!$P$36),"")</f>
        <v/>
      </c>
      <c r="AB9" s="44" t="str">
        <f ca="1">IF(AND('Mapa Riesgos'!$Z$31="Muy Alta",'Mapa Riesgos'!$AB$31="Mayor"),CONCATENATE("R4C",'Mapa Riesgos'!$P$31),"")</f>
        <v/>
      </c>
      <c r="AC9" s="45" t="str">
        <f ca="1">IF(AND('Mapa Riesgos'!$Z$32="Muy Alta",'Mapa Riesgos'!$AB$32="Mayor"),CONCATENATE("R4C",'Mapa Riesgos'!$P$32),"")</f>
        <v/>
      </c>
      <c r="AD9" s="50" t="str">
        <f>IF(AND('Mapa Riesgos'!$Z$33="Muy Alta",'Mapa Riesgos'!$AB$33="Mayor"),CONCATENATE("R4C",'Mapa Riesgos'!$P$33),"")</f>
        <v/>
      </c>
      <c r="AE9" s="50" t="str">
        <f>IF(AND('Mapa Riesgos'!$Z$34="Muy Alta",'Mapa Riesgos'!$AB$34="Mayor"),CONCATENATE("R4C",'Mapa Riesgos'!$P$34),"")</f>
        <v/>
      </c>
      <c r="AF9" s="50" t="str">
        <f>IF(AND('Mapa Riesgos'!$Z$35="Muy Alta",'Mapa Riesgos'!$AB$35="Mayor"),CONCATENATE("R4C",'Mapa Riesgos'!$P$35),"")</f>
        <v/>
      </c>
      <c r="AG9" s="46" t="str">
        <f>IF(AND('Mapa Riesgos'!$Z$36="Muy Alta",'Mapa Riesgos'!$AB$36="Mayor"),CONCATENATE("R4C",'Mapa Riesgos'!$P$36),"")</f>
        <v/>
      </c>
      <c r="AH9" s="47" t="str">
        <f ca="1">IF(AND('Mapa Riesgos'!$Z$31="Muy Alta",'Mapa Riesgos'!$AB$31="Catastrófico"),CONCATENATE("R4C",'Mapa Riesgos'!$P$31),"")</f>
        <v/>
      </c>
      <c r="AI9" s="48" t="str">
        <f ca="1">IF(AND('Mapa Riesgos'!$Z$32="Muy Alta",'Mapa Riesgos'!$AB$32="Catastrófico"),CONCATENATE("R4C",'Mapa Riesgos'!$P$32),"")</f>
        <v/>
      </c>
      <c r="AJ9" s="48" t="str">
        <f>IF(AND('Mapa Riesgos'!$Z$33="Muy Alta",'Mapa Riesgos'!$AB$33="Catastrófico"),CONCATENATE("R4C",'Mapa Riesgos'!$P$33),"")</f>
        <v/>
      </c>
      <c r="AK9" s="48" t="str">
        <f>IF(AND('Mapa Riesgos'!$Z$34="Muy Alta",'Mapa Riesgos'!$AB$34="Catastrófico"),CONCATENATE("R4C",'Mapa Riesgos'!$P$34),"")</f>
        <v/>
      </c>
      <c r="AL9" s="48" t="str">
        <f>IF(AND('Mapa Riesgos'!$Z$35="Muy Alta",'Mapa Riesgos'!$AB$35="Catastrófico"),CONCATENATE("R4C",'Mapa Riesgos'!$P$35),"")</f>
        <v/>
      </c>
      <c r="AM9" s="49" t="str">
        <f>IF(AND('Mapa Riesgos'!$Z$36="Muy Alta",'Mapa Riesgos'!$AB$36="Catastrófico"),CONCATENATE("R4C",'Mapa Riesgos'!$P$36),"")</f>
        <v/>
      </c>
      <c r="AN9" s="76"/>
      <c r="AO9" s="539"/>
      <c r="AP9" s="540"/>
      <c r="AQ9" s="540"/>
      <c r="AR9" s="540"/>
      <c r="AS9" s="540"/>
      <c r="AT9" s="541"/>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c r="A10" s="76"/>
      <c r="B10" s="477"/>
      <c r="C10" s="477"/>
      <c r="D10" s="478"/>
      <c r="E10" s="518"/>
      <c r="F10" s="519"/>
      <c r="G10" s="519"/>
      <c r="H10" s="519"/>
      <c r="I10" s="520"/>
      <c r="J10" s="44" t="str">
        <f ca="1">IF(AND('Mapa Riesgos'!$Z$37="Muy Alta",'Mapa Riesgos'!$AB$37="Leve"),CONCATENATE("R5C",'Mapa Riesgos'!$P$37),"")</f>
        <v/>
      </c>
      <c r="K10" s="45" t="str">
        <f>IF(AND('Mapa Riesgos'!$Z$38="Muy Alta",'Mapa Riesgos'!$AB$38="Leve"),CONCATENATE("R5C",'Mapa Riesgos'!$P$38),"")</f>
        <v/>
      </c>
      <c r="L10" s="50" t="str">
        <f>IF(AND('Mapa Riesgos'!$Z$39="Muy Alta",'Mapa Riesgos'!$AB$39="Leve"),CONCATENATE("R5C",'Mapa Riesgos'!$P$39),"")</f>
        <v/>
      </c>
      <c r="M10" s="50" t="str">
        <f>IF(AND('Mapa Riesgos'!$Z$40="Muy Alta",'Mapa Riesgos'!$AB$40="Leve"),CONCATENATE("R5C",'Mapa Riesgos'!$P$40),"")</f>
        <v/>
      </c>
      <c r="N10" s="50" t="str">
        <f>IF(AND('Mapa Riesgos'!$Z$41="Muy Alta",'Mapa Riesgos'!$AB$41="Leve"),CONCATENATE("R5C",'Mapa Riesgos'!$P$41),"")</f>
        <v/>
      </c>
      <c r="O10" s="46" t="str">
        <f>IF(AND('Mapa Riesgos'!$Z$42="Muy Alta",'Mapa Riesgos'!$AB$42="Leve"),CONCATENATE("R5C",'Mapa Riesgos'!$P$42),"")</f>
        <v/>
      </c>
      <c r="P10" s="44" t="str">
        <f ca="1">IF(AND('Mapa Riesgos'!$Z$37="Muy Alta",'Mapa Riesgos'!$AB$37="Menor"),CONCATENATE("R5C",'Mapa Riesgos'!$P$37),"")</f>
        <v/>
      </c>
      <c r="Q10" s="45" t="str">
        <f>IF(AND('Mapa Riesgos'!$Z$38="Muy Alta",'Mapa Riesgos'!$AB$38="Menor"),CONCATENATE("R5C",'Mapa Riesgos'!$P$38),"")</f>
        <v/>
      </c>
      <c r="R10" s="50" t="str">
        <f>IF(AND('Mapa Riesgos'!$Z$39="Muy Alta",'Mapa Riesgos'!$AB$39="Menor"),CONCATENATE("R5C",'Mapa Riesgos'!$P$39),"")</f>
        <v/>
      </c>
      <c r="S10" s="50" t="str">
        <f>IF(AND('Mapa Riesgos'!$Z$40="Muy Alta",'Mapa Riesgos'!$AB$40="Menor"),CONCATENATE("R5C",'Mapa Riesgos'!$P$40),"")</f>
        <v/>
      </c>
      <c r="T10" s="50" t="str">
        <f>IF(AND('Mapa Riesgos'!$Z$41="Muy Alta",'Mapa Riesgos'!$AB$41="Menor"),CONCATENATE("R5C",'Mapa Riesgos'!$P$41),"")</f>
        <v/>
      </c>
      <c r="U10" s="46" t="str">
        <f>IF(AND('Mapa Riesgos'!$Z$42="Muy Alta",'Mapa Riesgos'!$AB$42="Menor"),CONCATENATE("R5C",'Mapa Riesgos'!$P$42),"")</f>
        <v/>
      </c>
      <c r="V10" s="44" t="str">
        <f ca="1">IF(AND('Mapa Riesgos'!$Z$37="Muy Alta",'Mapa Riesgos'!$AB$37="Moderado"),CONCATENATE("R5C",'Mapa Riesgos'!$P$37),"")</f>
        <v/>
      </c>
      <c r="W10" s="45" t="str">
        <f>IF(AND('Mapa Riesgos'!$Z$38="Muy Alta",'Mapa Riesgos'!$AB$38="Moderado"),CONCATENATE("R5C",'Mapa Riesgos'!$P$38),"")</f>
        <v/>
      </c>
      <c r="X10" s="50" t="str">
        <f>IF(AND('Mapa Riesgos'!$Z$39="Muy Alta",'Mapa Riesgos'!$AB$39="Moderado"),CONCATENATE("R5C",'Mapa Riesgos'!$P$39),"")</f>
        <v/>
      </c>
      <c r="Y10" s="50" t="str">
        <f>IF(AND('Mapa Riesgos'!$Z$40="Muy Alta",'Mapa Riesgos'!$AB$40="Moderado"),CONCATENATE("R5C",'Mapa Riesgos'!$P$40),"")</f>
        <v/>
      </c>
      <c r="Z10" s="50" t="str">
        <f>IF(AND('Mapa Riesgos'!$Z$41="Muy Alta",'Mapa Riesgos'!$AB$41="Moderado"),CONCATENATE("R5C",'Mapa Riesgos'!$P$41),"")</f>
        <v/>
      </c>
      <c r="AA10" s="46" t="str">
        <f>IF(AND('Mapa Riesgos'!$Z$42="Muy Alta",'Mapa Riesgos'!$AB$42="Moderado"),CONCATENATE("R5C",'Mapa Riesgos'!$P$42),"")</f>
        <v/>
      </c>
      <c r="AB10" s="44" t="str">
        <f ca="1">IF(AND('Mapa Riesgos'!$Z$37="Muy Alta",'Mapa Riesgos'!$AB$37="Mayor"),CONCATENATE("R5C",'Mapa Riesgos'!$P$37),"")</f>
        <v/>
      </c>
      <c r="AC10" s="45" t="str">
        <f>IF(AND('Mapa Riesgos'!$Z$38="Muy Alta",'Mapa Riesgos'!$AB$38="Mayor"),CONCATENATE("R5C",'Mapa Riesgos'!$P$38),"")</f>
        <v/>
      </c>
      <c r="AD10" s="50" t="str">
        <f>IF(AND('Mapa Riesgos'!$Z$39="Muy Alta",'Mapa Riesgos'!$AB$39="Mayor"),CONCATENATE("R5C",'Mapa Riesgos'!$P$39),"")</f>
        <v/>
      </c>
      <c r="AE10" s="50" t="str">
        <f>IF(AND('Mapa Riesgos'!$Z$40="Muy Alta",'Mapa Riesgos'!$AB$40="Mayor"),CONCATENATE("R5C",'Mapa Riesgos'!$P$40),"")</f>
        <v/>
      </c>
      <c r="AF10" s="50" t="str">
        <f>IF(AND('Mapa Riesgos'!$Z$41="Muy Alta",'Mapa Riesgos'!$AB$41="Mayor"),CONCATENATE("R5C",'Mapa Riesgos'!$P$41),"")</f>
        <v/>
      </c>
      <c r="AG10" s="46" t="str">
        <f>IF(AND('Mapa Riesgos'!$Z$42="Muy Alta",'Mapa Riesgos'!$AB$42="Mayor"),CONCATENATE("R5C",'Mapa Riesgos'!$P$42),"")</f>
        <v/>
      </c>
      <c r="AH10" s="47" t="str">
        <f ca="1">IF(AND('Mapa Riesgos'!$Z$37="Muy Alta",'Mapa Riesgos'!$AB$37="Catastrófico"),CONCATENATE("R5C",'Mapa Riesgos'!$P$37),"")</f>
        <v/>
      </c>
      <c r="AI10" s="48" t="str">
        <f>IF(AND('Mapa Riesgos'!$Z$38="Muy Alta",'Mapa Riesgos'!$AB$38="Catastrófico"),CONCATENATE("R5C",'Mapa Riesgos'!$P$38),"")</f>
        <v/>
      </c>
      <c r="AJ10" s="48" t="str">
        <f>IF(AND('Mapa Riesgos'!$Z$39="Muy Alta",'Mapa Riesgos'!$AB$39="Catastrófico"),CONCATENATE("R5C",'Mapa Riesgos'!$P$39),"")</f>
        <v/>
      </c>
      <c r="AK10" s="48" t="str">
        <f>IF(AND('Mapa Riesgos'!$Z$40="Muy Alta",'Mapa Riesgos'!$AB$40="Catastrófico"),CONCATENATE("R5C",'Mapa Riesgos'!$P$40),"")</f>
        <v/>
      </c>
      <c r="AL10" s="48" t="str">
        <f>IF(AND('Mapa Riesgos'!$Z$41="Muy Alta",'Mapa Riesgos'!$AB$41="Catastrófico"),CONCATENATE("R5C",'Mapa Riesgos'!$P$41),"")</f>
        <v/>
      </c>
      <c r="AM10" s="49" t="str">
        <f>IF(AND('Mapa Riesgos'!$Z$42="Muy Alta",'Mapa Riesgos'!$AB$42="Catastrófico"),CONCATENATE("R5C",'Mapa Riesgos'!$P$42),"")</f>
        <v/>
      </c>
      <c r="AN10" s="76"/>
      <c r="AO10" s="539"/>
      <c r="AP10" s="540"/>
      <c r="AQ10" s="540"/>
      <c r="AR10" s="540"/>
      <c r="AS10" s="540"/>
      <c r="AT10" s="541"/>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c r="A11" s="76"/>
      <c r="B11" s="477"/>
      <c r="C11" s="477"/>
      <c r="D11" s="478"/>
      <c r="E11" s="518"/>
      <c r="F11" s="519"/>
      <c r="G11" s="519"/>
      <c r="H11" s="519"/>
      <c r="I11" s="520"/>
      <c r="J11" s="44" t="str">
        <f ca="1">IF(AND('Mapa Riesgos'!$Z$43="Muy Alta",'Mapa Riesgos'!$AB$43="Leve"),CONCATENATE("R6C",'Mapa Riesgos'!$P$43),"")</f>
        <v/>
      </c>
      <c r="K11" s="45" t="str">
        <f ca="1">IF(AND('Mapa Riesgos'!$Z$44="Muy Alta",'Mapa Riesgos'!$AB$44="Leve"),CONCATENATE("R6C",'Mapa Riesgos'!$P$44),"")</f>
        <v/>
      </c>
      <c r="L11" s="50" t="str">
        <f ca="1">IF(AND('Mapa Riesgos'!$Z$45="Muy Alta",'Mapa Riesgos'!$AB$45="Leve"),CONCATENATE("R6C",'Mapa Riesgos'!$P$45),"")</f>
        <v/>
      </c>
      <c r="M11" s="50" t="str">
        <f>IF(AND('Mapa Riesgos'!$Z$46="Muy Alta",'Mapa Riesgos'!$AB$46="Leve"),CONCATENATE("R6C",'Mapa Riesgos'!$P$46),"")</f>
        <v/>
      </c>
      <c r="N11" s="50" t="str">
        <f>IF(AND('Mapa Riesgos'!$Z$47="Muy Alta",'Mapa Riesgos'!$AB$47="Leve"),CONCATENATE("R6C",'Mapa Riesgos'!$P$47),"")</f>
        <v/>
      </c>
      <c r="O11" s="46" t="str">
        <f>IF(AND('Mapa Riesgos'!$Z$48="Muy Alta",'Mapa Riesgos'!$AB$48="Leve"),CONCATENATE("R6C",'Mapa Riesgos'!$P$48),"")</f>
        <v/>
      </c>
      <c r="P11" s="44" t="str">
        <f ca="1">IF(AND('Mapa Riesgos'!$Z$43="Muy Alta",'Mapa Riesgos'!$AB$43="Menor"),CONCATENATE("R6C",'Mapa Riesgos'!$P$43),"")</f>
        <v/>
      </c>
      <c r="Q11" s="45" t="str">
        <f ca="1">IF(AND('Mapa Riesgos'!$Z$44="Muy Alta",'Mapa Riesgos'!$AB$44="Menor"),CONCATENATE("R6C",'Mapa Riesgos'!$P$44),"")</f>
        <v/>
      </c>
      <c r="R11" s="50" t="str">
        <f ca="1">IF(AND('Mapa Riesgos'!$Z$45="Muy Alta",'Mapa Riesgos'!$AB$45="Menor"),CONCATENATE("R6C",'Mapa Riesgos'!$P$45),"")</f>
        <v/>
      </c>
      <c r="S11" s="50" t="str">
        <f>IF(AND('Mapa Riesgos'!$Z$46="Muy Alta",'Mapa Riesgos'!$AB$46="Menor"),CONCATENATE("R6C",'Mapa Riesgos'!$P$46),"")</f>
        <v/>
      </c>
      <c r="T11" s="50" t="str">
        <f>IF(AND('Mapa Riesgos'!$Z$47="Muy Alta",'Mapa Riesgos'!$AB$47="Menor"),CONCATENATE("R6C",'Mapa Riesgos'!$P$47),"")</f>
        <v/>
      </c>
      <c r="U11" s="46" t="str">
        <f>IF(AND('Mapa Riesgos'!$Z$48="Muy Alta",'Mapa Riesgos'!$AB$48="Menor"),CONCATENATE("R6C",'Mapa Riesgos'!$P$48),"")</f>
        <v/>
      </c>
      <c r="V11" s="44" t="str">
        <f ca="1">IF(AND('Mapa Riesgos'!$Z$43="Muy Alta",'Mapa Riesgos'!$AB$43="Moderado"),CONCATENATE("R6C",'Mapa Riesgos'!$P$43),"")</f>
        <v/>
      </c>
      <c r="W11" s="45" t="str">
        <f ca="1">IF(AND('Mapa Riesgos'!$Z$44="Muy Alta",'Mapa Riesgos'!$AB$44="Moderado"),CONCATENATE("R6C",'Mapa Riesgos'!$P$44),"")</f>
        <v/>
      </c>
      <c r="X11" s="50" t="str">
        <f ca="1">IF(AND('Mapa Riesgos'!$Z$45="Muy Alta",'Mapa Riesgos'!$AB$45="Moderado"),CONCATENATE("R6C",'Mapa Riesgos'!$P$45),"")</f>
        <v/>
      </c>
      <c r="Y11" s="50" t="str">
        <f>IF(AND('Mapa Riesgos'!$Z$46="Muy Alta",'Mapa Riesgos'!$AB$46="Moderado"),CONCATENATE("R6C",'Mapa Riesgos'!$P$46),"")</f>
        <v/>
      </c>
      <c r="Z11" s="50" t="str">
        <f>IF(AND('Mapa Riesgos'!$Z$47="Muy Alta",'Mapa Riesgos'!$AB$47="Moderado"),CONCATENATE("R6C",'Mapa Riesgos'!$P$47),"")</f>
        <v/>
      </c>
      <c r="AA11" s="46" t="str">
        <f>IF(AND('Mapa Riesgos'!$Z$48="Muy Alta",'Mapa Riesgos'!$AB$48="Moderado"),CONCATENATE("R6C",'Mapa Riesgos'!$P$48),"")</f>
        <v/>
      </c>
      <c r="AB11" s="44" t="str">
        <f ca="1">IF(AND('Mapa Riesgos'!$Z$43="Muy Alta",'Mapa Riesgos'!$AB$43="Mayor"),CONCATENATE("R6C",'Mapa Riesgos'!$P$43),"")</f>
        <v/>
      </c>
      <c r="AC11" s="45" t="str">
        <f ca="1">IF(AND('Mapa Riesgos'!$Z$44="Muy Alta",'Mapa Riesgos'!$AB$44="Mayor"),CONCATENATE("R6C",'Mapa Riesgos'!$P$44),"")</f>
        <v/>
      </c>
      <c r="AD11" s="50" t="str">
        <f ca="1">IF(AND('Mapa Riesgos'!$Z$45="Muy Alta",'Mapa Riesgos'!$AB$45="Mayor"),CONCATENATE("R6C",'Mapa Riesgos'!$P$45),"")</f>
        <v/>
      </c>
      <c r="AE11" s="50" t="str">
        <f>IF(AND('Mapa Riesgos'!$Z$46="Muy Alta",'Mapa Riesgos'!$AB$46="Mayor"),CONCATENATE("R6C",'Mapa Riesgos'!$P$46),"")</f>
        <v/>
      </c>
      <c r="AF11" s="50" t="str">
        <f>IF(AND('Mapa Riesgos'!$Z$47="Muy Alta",'Mapa Riesgos'!$AB$47="Mayor"),CONCATENATE("R6C",'Mapa Riesgos'!$P$47),"")</f>
        <v/>
      </c>
      <c r="AG11" s="46" t="str">
        <f>IF(AND('Mapa Riesgos'!$Z$48="Muy Alta",'Mapa Riesgos'!$AB$48="Mayor"),CONCATENATE("R6C",'Mapa Riesgos'!$P$48),"")</f>
        <v/>
      </c>
      <c r="AH11" s="47" t="str">
        <f ca="1">IF(AND('Mapa Riesgos'!$Z$43="Muy Alta",'Mapa Riesgos'!$AB$43="Catastrófico"),CONCATENATE("R6C",'Mapa Riesgos'!$P$43),"")</f>
        <v/>
      </c>
      <c r="AI11" s="48" t="str">
        <f ca="1">IF(AND('Mapa Riesgos'!$Z$44="Muy Alta",'Mapa Riesgos'!$AB$44="Catastrófico"),CONCATENATE("R6C",'Mapa Riesgos'!$P$44),"")</f>
        <v/>
      </c>
      <c r="AJ11" s="48" t="str">
        <f ca="1">IF(AND('Mapa Riesgos'!$Z$45="Muy Alta",'Mapa Riesgos'!$AB$45="Catastrófico"),CONCATENATE("R6C",'Mapa Riesgos'!$P$45),"")</f>
        <v/>
      </c>
      <c r="AK11" s="48" t="str">
        <f>IF(AND('Mapa Riesgos'!$Z$46="Muy Alta",'Mapa Riesgos'!$AB$46="Catastrófico"),CONCATENATE("R6C",'Mapa Riesgos'!$P$46),"")</f>
        <v/>
      </c>
      <c r="AL11" s="48" t="str">
        <f>IF(AND('Mapa Riesgos'!$Z$47="Muy Alta",'Mapa Riesgos'!$AB$47="Catastrófico"),CONCATENATE("R6C",'Mapa Riesgos'!$P$47),"")</f>
        <v/>
      </c>
      <c r="AM11" s="49" t="str">
        <f>IF(AND('Mapa Riesgos'!$Z$48="Muy Alta",'Mapa Riesgos'!$AB$48="Catastrófico"),CONCATENATE("R6C",'Mapa Riesgos'!$P$48),"")</f>
        <v/>
      </c>
      <c r="AN11" s="76"/>
      <c r="AO11" s="539"/>
      <c r="AP11" s="540"/>
      <c r="AQ11" s="540"/>
      <c r="AR11" s="540"/>
      <c r="AS11" s="540"/>
      <c r="AT11" s="541"/>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c r="A12" s="76"/>
      <c r="B12" s="477"/>
      <c r="C12" s="477"/>
      <c r="D12" s="478"/>
      <c r="E12" s="518"/>
      <c r="F12" s="519"/>
      <c r="G12" s="519"/>
      <c r="H12" s="519"/>
      <c r="I12" s="520"/>
      <c r="J12" s="44" t="str">
        <f ca="1">IF(AND('Mapa Riesgos'!$Z$49="Muy Alta",'Mapa Riesgos'!$AB$49="Leve"),CONCATENATE("R7C",'Mapa Riesgos'!$P$49),"")</f>
        <v/>
      </c>
      <c r="K12" s="45" t="str">
        <f>IF(AND('Mapa Riesgos'!$Z$50="Muy Alta",'Mapa Riesgos'!$AB$50="Leve"),CONCATENATE("R7C",'Mapa Riesgos'!$P$50),"")</f>
        <v/>
      </c>
      <c r="L12" s="50" t="str">
        <f>IF(AND('Mapa Riesgos'!$Z$51="Muy Alta",'Mapa Riesgos'!$AB$51="Leve"),CONCATENATE("R7C",'Mapa Riesgos'!$P$51),"")</f>
        <v/>
      </c>
      <c r="M12" s="50" t="str">
        <f>IF(AND('Mapa Riesgos'!$Z$52="Muy Alta",'Mapa Riesgos'!$AB$52="Leve"),CONCATENATE("R7C",'Mapa Riesgos'!$P$52),"")</f>
        <v/>
      </c>
      <c r="N12" s="50" t="str">
        <f>IF(AND('Mapa Riesgos'!$Z$53="Muy Alta",'Mapa Riesgos'!$AB$53="Leve"),CONCATENATE("R7C",'Mapa Riesgos'!$P$53),"")</f>
        <v/>
      </c>
      <c r="O12" s="46" t="str">
        <f>IF(AND('Mapa Riesgos'!$Z$54="Muy Alta",'Mapa Riesgos'!$AB$54="Leve"),CONCATENATE("R7C",'Mapa Riesgos'!$P$54),"")</f>
        <v/>
      </c>
      <c r="P12" s="44" t="str">
        <f ca="1">IF(AND('Mapa Riesgos'!$Z$49="Muy Alta",'Mapa Riesgos'!$AB$49="Menor"),CONCATENATE("R7C",'Mapa Riesgos'!$P$49),"")</f>
        <v/>
      </c>
      <c r="Q12" s="45" t="str">
        <f>IF(AND('Mapa Riesgos'!$Z$50="Muy Alta",'Mapa Riesgos'!$AB$50="Menor"),CONCATENATE("R7C",'Mapa Riesgos'!$P$50),"")</f>
        <v/>
      </c>
      <c r="R12" s="50" t="str">
        <f>IF(AND('Mapa Riesgos'!$Z$51="Muy Alta",'Mapa Riesgos'!$AB$51="Menor"),CONCATENATE("R7C",'Mapa Riesgos'!$P$51),"")</f>
        <v/>
      </c>
      <c r="S12" s="50" t="str">
        <f>IF(AND('Mapa Riesgos'!$Z$52="Muy Alta",'Mapa Riesgos'!$AB$52="Menor"),CONCATENATE("R7C",'Mapa Riesgos'!$P$52),"")</f>
        <v/>
      </c>
      <c r="T12" s="50" t="str">
        <f>IF(AND('Mapa Riesgos'!$Z$53="Muy Alta",'Mapa Riesgos'!$AB$53="Menor"),CONCATENATE("R7C",'Mapa Riesgos'!$P$53),"")</f>
        <v/>
      </c>
      <c r="U12" s="46" t="str">
        <f>IF(AND('Mapa Riesgos'!$Z$54="Muy Alta",'Mapa Riesgos'!$AB$54="Menor"),CONCATENATE("R7C",'Mapa Riesgos'!$P$54),"")</f>
        <v/>
      </c>
      <c r="V12" s="44" t="str">
        <f ca="1">IF(AND('Mapa Riesgos'!$Z$49="Muy Alta",'Mapa Riesgos'!$AB$49="Moderado"),CONCATENATE("R7C",'Mapa Riesgos'!$P$49),"")</f>
        <v/>
      </c>
      <c r="W12" s="45" t="str">
        <f>IF(AND('Mapa Riesgos'!$Z$50="Muy Alta",'Mapa Riesgos'!$AB$50="Moderado"),CONCATENATE("R7C",'Mapa Riesgos'!$P$50),"")</f>
        <v/>
      </c>
      <c r="X12" s="50" t="str">
        <f>IF(AND('Mapa Riesgos'!$Z$51="Muy Alta",'Mapa Riesgos'!$AB$51="Moderado"),CONCATENATE("R7C",'Mapa Riesgos'!$P$51),"")</f>
        <v/>
      </c>
      <c r="Y12" s="50" t="str">
        <f>IF(AND('Mapa Riesgos'!$Z$52="Muy Alta",'Mapa Riesgos'!$AB$52="Moderado"),CONCATENATE("R7C",'Mapa Riesgos'!$P$52),"")</f>
        <v/>
      </c>
      <c r="Z12" s="50" t="str">
        <f>IF(AND('Mapa Riesgos'!$Z$53="Muy Alta",'Mapa Riesgos'!$AB$53="Moderado"),CONCATENATE("R7C",'Mapa Riesgos'!$P$53),"")</f>
        <v/>
      </c>
      <c r="AA12" s="46" t="str">
        <f>IF(AND('Mapa Riesgos'!$Z$54="Muy Alta",'Mapa Riesgos'!$AB$54="Moderado"),CONCATENATE("R7C",'Mapa Riesgos'!$P$54),"")</f>
        <v/>
      </c>
      <c r="AB12" s="44" t="str">
        <f ca="1">IF(AND('Mapa Riesgos'!$Z$49="Muy Alta",'Mapa Riesgos'!$AB$49="Mayor"),CONCATENATE("R7C",'Mapa Riesgos'!$P$49),"")</f>
        <v/>
      </c>
      <c r="AC12" s="45" t="str">
        <f>IF(AND('Mapa Riesgos'!$Z$50="Muy Alta",'Mapa Riesgos'!$AB$50="Mayor"),CONCATENATE("R7C",'Mapa Riesgos'!$P$50),"")</f>
        <v/>
      </c>
      <c r="AD12" s="50" t="str">
        <f>IF(AND('Mapa Riesgos'!$Z$51="Muy Alta",'Mapa Riesgos'!$AB$51="Mayor"),CONCATENATE("R7C",'Mapa Riesgos'!$P$51),"")</f>
        <v/>
      </c>
      <c r="AE12" s="50" t="str">
        <f>IF(AND('Mapa Riesgos'!$Z$52="Muy Alta",'Mapa Riesgos'!$AB$52="Mayor"),CONCATENATE("R7C",'Mapa Riesgos'!$P$52),"")</f>
        <v/>
      </c>
      <c r="AF12" s="50" t="str">
        <f>IF(AND('Mapa Riesgos'!$Z$53="Muy Alta",'Mapa Riesgos'!$AB$53="Mayor"),CONCATENATE("R7C",'Mapa Riesgos'!$P$53),"")</f>
        <v/>
      </c>
      <c r="AG12" s="46" t="str">
        <f>IF(AND('Mapa Riesgos'!$Z$54="Muy Alta",'Mapa Riesgos'!$AB$54="Mayor"),CONCATENATE("R7C",'Mapa Riesgos'!$P$54),"")</f>
        <v/>
      </c>
      <c r="AH12" s="47" t="str">
        <f ca="1">IF(AND('Mapa Riesgos'!$Z$49="Muy Alta",'Mapa Riesgos'!$AB$49="Catastrófico"),CONCATENATE("R7C",'Mapa Riesgos'!$P$49),"")</f>
        <v/>
      </c>
      <c r="AI12" s="48" t="str">
        <f>IF(AND('Mapa Riesgos'!$Z$50="Muy Alta",'Mapa Riesgos'!$AB$50="Catastrófico"),CONCATENATE("R7C",'Mapa Riesgos'!$P$50),"")</f>
        <v/>
      </c>
      <c r="AJ12" s="48" t="str">
        <f>IF(AND('Mapa Riesgos'!$Z$51="Muy Alta",'Mapa Riesgos'!$AB$51="Catastrófico"),CONCATENATE("R7C",'Mapa Riesgos'!$P$51),"")</f>
        <v/>
      </c>
      <c r="AK12" s="48" t="str">
        <f>IF(AND('Mapa Riesgos'!$Z$52="Muy Alta",'Mapa Riesgos'!$AB$52="Catastrófico"),CONCATENATE("R7C",'Mapa Riesgos'!$P$52),"")</f>
        <v/>
      </c>
      <c r="AL12" s="48" t="str">
        <f>IF(AND('Mapa Riesgos'!$Z$53="Muy Alta",'Mapa Riesgos'!$AB$53="Catastrófico"),CONCATENATE("R7C",'Mapa Riesgos'!$P$53),"")</f>
        <v/>
      </c>
      <c r="AM12" s="49" t="str">
        <f>IF(AND('Mapa Riesgos'!$Z$54="Muy Alta",'Mapa Riesgos'!$AB$54="Catastrófico"),CONCATENATE("R7C",'Mapa Riesgos'!$P$54),"")</f>
        <v/>
      </c>
      <c r="AN12" s="76"/>
      <c r="AO12" s="539"/>
      <c r="AP12" s="540"/>
      <c r="AQ12" s="540"/>
      <c r="AR12" s="540"/>
      <c r="AS12" s="540"/>
      <c r="AT12" s="541"/>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c r="A13" s="76"/>
      <c r="B13" s="477"/>
      <c r="C13" s="477"/>
      <c r="D13" s="478"/>
      <c r="E13" s="518"/>
      <c r="F13" s="519"/>
      <c r="G13" s="519"/>
      <c r="H13" s="519"/>
      <c r="I13" s="520"/>
      <c r="J13" s="44" t="str">
        <f ca="1">IF(AND('Mapa Riesgos'!$Z$55="Muy Alta",'Mapa Riesgos'!$AB$55="Leve"),CONCATENATE("R8C",'Mapa Riesgos'!$P$55),"")</f>
        <v/>
      </c>
      <c r="K13" s="45" t="str">
        <f ca="1">IF(AND('Mapa Riesgos'!$Z$56="Muy Alta",'Mapa Riesgos'!$AB$56="Leve"),CONCATENATE("R8C",'Mapa Riesgos'!$P$56),"")</f>
        <v/>
      </c>
      <c r="L13" s="50" t="str">
        <f>IF(AND('Mapa Riesgos'!$Z$57="Muy Alta",'Mapa Riesgos'!$AB$57="Leve"),CONCATENATE("R8C",'Mapa Riesgos'!$P$57),"")</f>
        <v/>
      </c>
      <c r="M13" s="50" t="str">
        <f>IF(AND('Mapa Riesgos'!$Z$58="Muy Alta",'Mapa Riesgos'!$AB$58="Leve"),CONCATENATE("R8C",'Mapa Riesgos'!$P$58),"")</f>
        <v/>
      </c>
      <c r="N13" s="50" t="str">
        <f>IF(AND('Mapa Riesgos'!$Z$59="Muy Alta",'Mapa Riesgos'!$AB$59="Leve"),CONCATENATE("R8C",'Mapa Riesgos'!$P$59),"")</f>
        <v/>
      </c>
      <c r="O13" s="46" t="str">
        <f>IF(AND('Mapa Riesgos'!$Z$60="Muy Alta",'Mapa Riesgos'!$AB$60="Leve"),CONCATENATE("R8C",'Mapa Riesgos'!$P$60),"")</f>
        <v/>
      </c>
      <c r="P13" s="44" t="str">
        <f ca="1">IF(AND('Mapa Riesgos'!$Z$55="Muy Alta",'Mapa Riesgos'!$AB$55="Menor"),CONCATENATE("R8C",'Mapa Riesgos'!$P$55),"")</f>
        <v/>
      </c>
      <c r="Q13" s="45" t="str">
        <f ca="1">IF(AND('Mapa Riesgos'!$Z$56="Muy Alta",'Mapa Riesgos'!$AB$56="Menor"),CONCATENATE("R8C",'Mapa Riesgos'!$P$56),"")</f>
        <v/>
      </c>
      <c r="R13" s="50" t="str">
        <f>IF(AND('Mapa Riesgos'!$Z$57="Muy Alta",'Mapa Riesgos'!$AB$57="Menor"),CONCATENATE("R8C",'Mapa Riesgos'!$P$57),"")</f>
        <v/>
      </c>
      <c r="S13" s="50" t="str">
        <f>IF(AND('Mapa Riesgos'!$Z$58="Muy Alta",'Mapa Riesgos'!$AB$58="Menor"),CONCATENATE("R8C",'Mapa Riesgos'!$P$58),"")</f>
        <v/>
      </c>
      <c r="T13" s="50" t="str">
        <f>IF(AND('Mapa Riesgos'!$Z$59="Muy Alta",'Mapa Riesgos'!$AB$59="Menor"),CONCATENATE("R8C",'Mapa Riesgos'!$P$59),"")</f>
        <v/>
      </c>
      <c r="U13" s="46" t="str">
        <f>IF(AND('Mapa Riesgos'!$Z$60="Muy Alta",'Mapa Riesgos'!$AB$60="Menor"),CONCATENATE("R8C",'Mapa Riesgos'!$P$60),"")</f>
        <v/>
      </c>
      <c r="V13" s="44" t="str">
        <f ca="1">IF(AND('Mapa Riesgos'!$Z$55="Muy Alta",'Mapa Riesgos'!$AB$55="Moderado"),CONCATENATE("R8C",'Mapa Riesgos'!$P$55),"")</f>
        <v/>
      </c>
      <c r="W13" s="45" t="str">
        <f ca="1">IF(AND('Mapa Riesgos'!$Z$56="Muy Alta",'Mapa Riesgos'!$AB$56="Moderado"),CONCATENATE("R8C",'Mapa Riesgos'!$P$56),"")</f>
        <v/>
      </c>
      <c r="X13" s="50" t="str">
        <f>IF(AND('Mapa Riesgos'!$Z$57="Muy Alta",'Mapa Riesgos'!$AB$57="Moderado"),CONCATENATE("R8C",'Mapa Riesgos'!$P$57),"")</f>
        <v/>
      </c>
      <c r="Y13" s="50" t="str">
        <f>IF(AND('Mapa Riesgos'!$Z$58="Muy Alta",'Mapa Riesgos'!$AB$58="Moderado"),CONCATENATE("R8C",'Mapa Riesgos'!$P$58),"")</f>
        <v/>
      </c>
      <c r="Z13" s="50" t="str">
        <f>IF(AND('Mapa Riesgos'!$Z$59="Muy Alta",'Mapa Riesgos'!$AB$59="Moderado"),CONCATENATE("R8C",'Mapa Riesgos'!$P$59),"")</f>
        <v/>
      </c>
      <c r="AA13" s="46" t="str">
        <f>IF(AND('Mapa Riesgos'!$Z$60="Muy Alta",'Mapa Riesgos'!$AB$60="Moderado"),CONCATENATE("R8C",'Mapa Riesgos'!$P$60),"")</f>
        <v/>
      </c>
      <c r="AB13" s="44" t="str">
        <f ca="1">IF(AND('Mapa Riesgos'!$Z$55="Muy Alta",'Mapa Riesgos'!$AB$55="Mayor"),CONCATENATE("R8C",'Mapa Riesgos'!$P$55),"")</f>
        <v/>
      </c>
      <c r="AC13" s="45" t="str">
        <f ca="1">IF(AND('Mapa Riesgos'!$Z$56="Muy Alta",'Mapa Riesgos'!$AB$56="Mayor"),CONCATENATE("R8C",'Mapa Riesgos'!$P$56),"")</f>
        <v/>
      </c>
      <c r="AD13" s="50" t="str">
        <f>IF(AND('Mapa Riesgos'!$Z$57="Muy Alta",'Mapa Riesgos'!$AB$57="Mayor"),CONCATENATE("R8C",'Mapa Riesgos'!$P$57),"")</f>
        <v/>
      </c>
      <c r="AE13" s="50" t="str">
        <f>IF(AND('Mapa Riesgos'!$Z$58="Muy Alta",'Mapa Riesgos'!$AB$58="Mayor"),CONCATENATE("R8C",'Mapa Riesgos'!$P$58),"")</f>
        <v/>
      </c>
      <c r="AF13" s="50" t="str">
        <f>IF(AND('Mapa Riesgos'!$Z$59="Muy Alta",'Mapa Riesgos'!$AB$59="Mayor"),CONCATENATE("R8C",'Mapa Riesgos'!$P$59),"")</f>
        <v/>
      </c>
      <c r="AG13" s="46" t="str">
        <f>IF(AND('Mapa Riesgos'!$Z$60="Muy Alta",'Mapa Riesgos'!$AB$60="Mayor"),CONCATENATE("R8C",'Mapa Riesgos'!$P$60),"")</f>
        <v/>
      </c>
      <c r="AH13" s="47" t="str">
        <f ca="1">IF(AND('Mapa Riesgos'!$Z$55="Muy Alta",'Mapa Riesgos'!$AB$55="Catastrófico"),CONCATENATE("R8C",'Mapa Riesgos'!$P$55),"")</f>
        <v/>
      </c>
      <c r="AI13" s="48" t="str">
        <f ca="1">IF(AND('Mapa Riesgos'!$Z$56="Muy Alta",'Mapa Riesgos'!$AB$56="Catastrófico"),CONCATENATE("R8C",'Mapa Riesgos'!$P$56),"")</f>
        <v/>
      </c>
      <c r="AJ13" s="48" t="str">
        <f>IF(AND('Mapa Riesgos'!$Z$57="Muy Alta",'Mapa Riesgos'!$AB$57="Catastrófico"),CONCATENATE("R8C",'Mapa Riesgos'!$P$57),"")</f>
        <v/>
      </c>
      <c r="AK13" s="48" t="str">
        <f>IF(AND('Mapa Riesgos'!$Z$58="Muy Alta",'Mapa Riesgos'!$AB$58="Catastrófico"),CONCATENATE("R8C",'Mapa Riesgos'!$P$58),"")</f>
        <v/>
      </c>
      <c r="AL13" s="48" t="str">
        <f>IF(AND('Mapa Riesgos'!$Z$59="Muy Alta",'Mapa Riesgos'!$AB$59="Catastrófico"),CONCATENATE("R8C",'Mapa Riesgos'!$P$59),"")</f>
        <v/>
      </c>
      <c r="AM13" s="49" t="str">
        <f>IF(AND('Mapa Riesgos'!$Z$60="Muy Alta",'Mapa Riesgos'!$AB$60="Catastrófico"),CONCATENATE("R8C",'Mapa Riesgos'!$P$60),"")</f>
        <v/>
      </c>
      <c r="AN13" s="76"/>
      <c r="AO13" s="539"/>
      <c r="AP13" s="540"/>
      <c r="AQ13" s="540"/>
      <c r="AR13" s="540"/>
      <c r="AS13" s="540"/>
      <c r="AT13" s="541"/>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c r="A14" s="76"/>
      <c r="B14" s="477"/>
      <c r="C14" s="477"/>
      <c r="D14" s="478"/>
      <c r="E14" s="518"/>
      <c r="F14" s="519"/>
      <c r="G14" s="519"/>
      <c r="H14" s="519"/>
      <c r="I14" s="520"/>
      <c r="J14" s="44" t="str">
        <f ca="1">IF(AND('Mapa Riesgos'!$Z$61="Muy Alta",'Mapa Riesgos'!$AB$61="Leve"),CONCATENATE("R9C",'Mapa Riesgos'!$P$61),"")</f>
        <v/>
      </c>
      <c r="K14" s="45" t="str">
        <f ca="1">IF(AND('Mapa Riesgos'!$Z$62="Muy Alta",'Mapa Riesgos'!$AB$62="Leve"),CONCATENATE("R9C",'Mapa Riesgos'!$P$62),"")</f>
        <v/>
      </c>
      <c r="L14" s="50" t="str">
        <f>IF(AND('Mapa Riesgos'!$Z$63="Muy Alta",'Mapa Riesgos'!$AB$63="Leve"),CONCATENATE("R9C",'Mapa Riesgos'!$P$63),"")</f>
        <v/>
      </c>
      <c r="M14" s="50" t="str">
        <f>IF(AND('Mapa Riesgos'!$Z$64="Muy Alta",'Mapa Riesgos'!$AB$64="Leve"),CONCATENATE("R9C",'Mapa Riesgos'!$P$64),"")</f>
        <v/>
      </c>
      <c r="N14" s="50" t="str">
        <f>IF(AND('Mapa Riesgos'!$Z$65="Muy Alta",'Mapa Riesgos'!$AB$65="Leve"),CONCATENATE("R9C",'Mapa Riesgos'!$P$65),"")</f>
        <v/>
      </c>
      <c r="O14" s="46" t="str">
        <f>IF(AND('Mapa Riesgos'!$Z$66="Muy Alta",'Mapa Riesgos'!$AB$66="Leve"),CONCATENATE("R9C",'Mapa Riesgos'!$P$66),"")</f>
        <v/>
      </c>
      <c r="P14" s="44" t="str">
        <f ca="1">IF(AND('Mapa Riesgos'!$Z$61="Muy Alta",'Mapa Riesgos'!$AB$61="Menor"),CONCATENATE("R9C",'Mapa Riesgos'!$P$61),"")</f>
        <v/>
      </c>
      <c r="Q14" s="45" t="str">
        <f ca="1">IF(AND('Mapa Riesgos'!$Z$62="Muy Alta",'Mapa Riesgos'!$AB$62="Menor"),CONCATENATE("R9C",'Mapa Riesgos'!$P$62),"")</f>
        <v/>
      </c>
      <c r="R14" s="50" t="str">
        <f>IF(AND('Mapa Riesgos'!$Z$63="Muy Alta",'Mapa Riesgos'!$AB$63="Menor"),CONCATENATE("R9C",'Mapa Riesgos'!$P$63),"")</f>
        <v/>
      </c>
      <c r="S14" s="50" t="str">
        <f>IF(AND('Mapa Riesgos'!$Z$64="Muy Alta",'Mapa Riesgos'!$AB$64="Menor"),CONCATENATE("R9C",'Mapa Riesgos'!$P$64),"")</f>
        <v/>
      </c>
      <c r="T14" s="50" t="str">
        <f>IF(AND('Mapa Riesgos'!$Z$65="Muy Alta",'Mapa Riesgos'!$AB$65="Menor"),CONCATENATE("R9C",'Mapa Riesgos'!$P$65),"")</f>
        <v/>
      </c>
      <c r="U14" s="46" t="str">
        <f>IF(AND('Mapa Riesgos'!$Z$66="Muy Alta",'Mapa Riesgos'!$AB$66="Menor"),CONCATENATE("R9C",'Mapa Riesgos'!$P$66),"")</f>
        <v/>
      </c>
      <c r="V14" s="44" t="str">
        <f ca="1">IF(AND('Mapa Riesgos'!$Z$61="Muy Alta",'Mapa Riesgos'!$AB$61="Moderado"),CONCATENATE("R9C",'Mapa Riesgos'!$P$61),"")</f>
        <v/>
      </c>
      <c r="W14" s="45" t="str">
        <f ca="1">IF(AND('Mapa Riesgos'!$Z$62="Muy Alta",'Mapa Riesgos'!$AB$62="Moderado"),CONCATENATE("R9C",'Mapa Riesgos'!$P$62),"")</f>
        <v/>
      </c>
      <c r="X14" s="50" t="str">
        <f>IF(AND('Mapa Riesgos'!$Z$63="Muy Alta",'Mapa Riesgos'!$AB$63="Moderado"),CONCATENATE("R9C",'Mapa Riesgos'!$P$63),"")</f>
        <v/>
      </c>
      <c r="Y14" s="50" t="str">
        <f>IF(AND('Mapa Riesgos'!$Z$64="Muy Alta",'Mapa Riesgos'!$AB$64="Moderado"),CONCATENATE("R9C",'Mapa Riesgos'!$P$64),"")</f>
        <v/>
      </c>
      <c r="Z14" s="50" t="str">
        <f>IF(AND('Mapa Riesgos'!$Z$65="Muy Alta",'Mapa Riesgos'!$AB$65="Moderado"),CONCATENATE("R9C",'Mapa Riesgos'!$P$65),"")</f>
        <v/>
      </c>
      <c r="AA14" s="46" t="str">
        <f>IF(AND('Mapa Riesgos'!$Z$66="Muy Alta",'Mapa Riesgos'!$AB$66="Moderado"),CONCATENATE("R9C",'Mapa Riesgos'!$P$66),"")</f>
        <v/>
      </c>
      <c r="AB14" s="44" t="str">
        <f ca="1">IF(AND('Mapa Riesgos'!$Z$61="Muy Alta",'Mapa Riesgos'!$AB$61="Mayor"),CONCATENATE("R9C",'Mapa Riesgos'!$P$61),"")</f>
        <v/>
      </c>
      <c r="AC14" s="45" t="str">
        <f ca="1">IF(AND('Mapa Riesgos'!$Z$62="Muy Alta",'Mapa Riesgos'!$AB$62="Mayor"),CONCATENATE("R9C",'Mapa Riesgos'!$P$62),"")</f>
        <v/>
      </c>
      <c r="AD14" s="50" t="str">
        <f>IF(AND('Mapa Riesgos'!$Z$63="Muy Alta",'Mapa Riesgos'!$AB$63="Mayor"),CONCATENATE("R9C",'Mapa Riesgos'!$P$63),"")</f>
        <v/>
      </c>
      <c r="AE14" s="50" t="str">
        <f>IF(AND('Mapa Riesgos'!$Z$64="Muy Alta",'Mapa Riesgos'!$AB$64="Mayor"),CONCATENATE("R9C",'Mapa Riesgos'!$P$64),"")</f>
        <v/>
      </c>
      <c r="AF14" s="50" t="str">
        <f>IF(AND('Mapa Riesgos'!$Z$65="Muy Alta",'Mapa Riesgos'!$AB$65="Mayor"),CONCATENATE("R9C",'Mapa Riesgos'!$P$65),"")</f>
        <v/>
      </c>
      <c r="AG14" s="46" t="str">
        <f>IF(AND('Mapa Riesgos'!$Z$66="Muy Alta",'Mapa Riesgos'!$AB$66="Mayor"),CONCATENATE("R9C",'Mapa Riesgos'!$P$66),"")</f>
        <v/>
      </c>
      <c r="AH14" s="47" t="str">
        <f ca="1">IF(AND('Mapa Riesgos'!$Z$61="Muy Alta",'Mapa Riesgos'!$AB$61="Catastrófico"),CONCATENATE("R9C",'Mapa Riesgos'!$P$61),"")</f>
        <v/>
      </c>
      <c r="AI14" s="48" t="str">
        <f ca="1">IF(AND('Mapa Riesgos'!$Z$62="Muy Alta",'Mapa Riesgos'!$AB$62="Catastrófico"),CONCATENATE("R9C",'Mapa Riesgos'!$P$62),"")</f>
        <v/>
      </c>
      <c r="AJ14" s="48" t="str">
        <f>IF(AND('Mapa Riesgos'!$Z$63="Muy Alta",'Mapa Riesgos'!$AB$63="Catastrófico"),CONCATENATE("R9C",'Mapa Riesgos'!$P$63),"")</f>
        <v/>
      </c>
      <c r="AK14" s="48" t="str">
        <f>IF(AND('Mapa Riesgos'!$Z$64="Muy Alta",'Mapa Riesgos'!$AB$64="Catastrófico"),CONCATENATE("R9C",'Mapa Riesgos'!$P$64),"")</f>
        <v/>
      </c>
      <c r="AL14" s="48" t="str">
        <f>IF(AND('Mapa Riesgos'!$Z$65="Muy Alta",'Mapa Riesgos'!$AB$65="Catastrófico"),CONCATENATE("R9C",'Mapa Riesgos'!$P$65),"")</f>
        <v/>
      </c>
      <c r="AM14" s="49" t="str">
        <f>IF(AND('Mapa Riesgos'!$Z$66="Muy Alta",'Mapa Riesgos'!$AB$66="Catastrófico"),CONCATENATE("R9C",'Mapa Riesgos'!$P$66),"")</f>
        <v/>
      </c>
      <c r="AN14" s="76"/>
      <c r="AO14" s="539"/>
      <c r="AP14" s="540"/>
      <c r="AQ14" s="540"/>
      <c r="AR14" s="540"/>
      <c r="AS14" s="540"/>
      <c r="AT14" s="541"/>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c r="A15" s="76"/>
      <c r="B15" s="477"/>
      <c r="C15" s="477"/>
      <c r="D15" s="478"/>
      <c r="E15" s="521"/>
      <c r="F15" s="522"/>
      <c r="G15" s="522"/>
      <c r="H15" s="522"/>
      <c r="I15" s="523"/>
      <c r="J15" s="51" t="str">
        <f>IF(AND('Mapa Riesgos'!$Z$67="Muy Alta",'Mapa Riesgos'!$AB$67="Leve"),CONCATENATE("R10C",'Mapa Riesgos'!$P$67),"")</f>
        <v/>
      </c>
      <c r="K15" s="52" t="str">
        <f>IF(AND('Mapa Riesgos'!$Z$68="Muy Alta",'Mapa Riesgos'!$AB$68="Leve"),CONCATENATE("R10C",'Mapa Riesgos'!$P$68),"")</f>
        <v/>
      </c>
      <c r="L15" s="52" t="str">
        <f>IF(AND('Mapa Riesgos'!$Z$69="Muy Alta",'Mapa Riesgos'!$AB$69="Leve"),CONCATENATE("R10C",'Mapa Riesgos'!$P$69),"")</f>
        <v/>
      </c>
      <c r="M15" s="52" t="str">
        <f>IF(AND('Mapa Riesgos'!$Z$70="Muy Alta",'Mapa Riesgos'!$AB$70="Leve"),CONCATENATE("R10C",'Mapa Riesgos'!$P$70),"")</f>
        <v/>
      </c>
      <c r="N15" s="52" t="str">
        <f>IF(AND('Mapa Riesgos'!$Z$71="Muy Alta",'Mapa Riesgos'!$AB$71="Leve"),CONCATENATE("R10C",'Mapa Riesgos'!$P$71),"")</f>
        <v/>
      </c>
      <c r="O15" s="53" t="str">
        <f>IF(AND('Mapa Riesgos'!$Z$72="Muy Alta",'Mapa Riesgos'!$AB$72="Leve"),CONCATENATE("R10C",'Mapa Riesgos'!$P$72),"")</f>
        <v/>
      </c>
      <c r="P15" s="44" t="str">
        <f>IF(AND('Mapa Riesgos'!$Z$67="Muy Alta",'Mapa Riesgos'!$AB$67="Menor"),CONCATENATE("R10C",'Mapa Riesgos'!$P$67),"")</f>
        <v/>
      </c>
      <c r="Q15" s="45" t="str">
        <f>IF(AND('Mapa Riesgos'!$Z$68="Muy Alta",'Mapa Riesgos'!$AB$68="Menor"),CONCATENATE("R10C",'Mapa Riesgos'!$P$68),"")</f>
        <v/>
      </c>
      <c r="R15" s="45" t="str">
        <f>IF(AND('Mapa Riesgos'!$Z$69="Muy Alta",'Mapa Riesgos'!$AB$69="Menor"),CONCATENATE("R10C",'Mapa Riesgos'!$P$69),"")</f>
        <v/>
      </c>
      <c r="S15" s="45" t="str">
        <f>IF(AND('Mapa Riesgos'!$Z$70="Muy Alta",'Mapa Riesgos'!$AB$70="Menor"),CONCATENATE("R10C",'Mapa Riesgos'!$P$70),"")</f>
        <v/>
      </c>
      <c r="T15" s="45" t="str">
        <f>IF(AND('Mapa Riesgos'!$Z$71="Muy Alta",'Mapa Riesgos'!$AB$71="Menor"),CONCATENATE("R10C",'Mapa Riesgos'!$P$71),"")</f>
        <v/>
      </c>
      <c r="U15" s="46" t="str">
        <f>IF(AND('Mapa Riesgos'!$Z$72="Muy Alta",'Mapa Riesgos'!$AB$72="Menor"),CONCATENATE("R10C",'Mapa Riesgos'!$P$72),"")</f>
        <v/>
      </c>
      <c r="V15" s="51" t="str">
        <f>IF(AND('Mapa Riesgos'!$Z$67="Muy Alta",'Mapa Riesgos'!$AB$67="Moderado"),CONCATENATE("R10C",'Mapa Riesgos'!$P$67),"")</f>
        <v/>
      </c>
      <c r="W15" s="52" t="str">
        <f>IF(AND('Mapa Riesgos'!$Z$68="Muy Alta",'Mapa Riesgos'!$AB$68="Moderado"),CONCATENATE("R10C",'Mapa Riesgos'!$P$68),"")</f>
        <v/>
      </c>
      <c r="X15" s="52" t="str">
        <f>IF(AND('Mapa Riesgos'!$Z$69="Muy Alta",'Mapa Riesgos'!$AB$69="Moderado"),CONCATENATE("R10C",'Mapa Riesgos'!$P$69),"")</f>
        <v/>
      </c>
      <c r="Y15" s="52" t="str">
        <f>IF(AND('Mapa Riesgos'!$Z$70="Muy Alta",'Mapa Riesgos'!$AB$70="Moderado"),CONCATENATE("R10C",'Mapa Riesgos'!$P$70),"")</f>
        <v/>
      </c>
      <c r="Z15" s="52" t="str">
        <f>IF(AND('Mapa Riesgos'!$Z$71="Muy Alta",'Mapa Riesgos'!$AB$71="Moderado"),CONCATENATE("R10C",'Mapa Riesgos'!$P$71),"")</f>
        <v/>
      </c>
      <c r="AA15" s="53" t="str">
        <f>IF(AND('Mapa Riesgos'!$Z$72="Muy Alta",'Mapa Riesgos'!$AB$72="Moderado"),CONCATENATE("R10C",'Mapa Riesgos'!$P$72),"")</f>
        <v/>
      </c>
      <c r="AB15" s="44" t="str">
        <f>IF(AND('Mapa Riesgos'!$Z$67="Muy Alta",'Mapa Riesgos'!$AB$67="Mayor"),CONCATENATE("R10C",'Mapa Riesgos'!$P$67),"")</f>
        <v/>
      </c>
      <c r="AC15" s="45" t="str">
        <f>IF(AND('Mapa Riesgos'!$Z$68="Muy Alta",'Mapa Riesgos'!$AB$68="Mayor"),CONCATENATE("R10C",'Mapa Riesgos'!$P$68),"")</f>
        <v/>
      </c>
      <c r="AD15" s="45" t="str">
        <f>IF(AND('Mapa Riesgos'!$Z$69="Muy Alta",'Mapa Riesgos'!$AB$69="Mayor"),CONCATENATE("R10C",'Mapa Riesgos'!$P$69),"")</f>
        <v/>
      </c>
      <c r="AE15" s="45" t="str">
        <f>IF(AND('Mapa Riesgos'!$Z$70="Muy Alta",'Mapa Riesgos'!$AB$70="Mayor"),CONCATENATE("R10C",'Mapa Riesgos'!$P$70),"")</f>
        <v/>
      </c>
      <c r="AF15" s="45" t="str">
        <f>IF(AND('Mapa Riesgos'!$Z$71="Muy Alta",'Mapa Riesgos'!$AB$71="Mayor"),CONCATENATE("R10C",'Mapa Riesgos'!$P$71),"")</f>
        <v/>
      </c>
      <c r="AG15" s="46" t="str">
        <f>IF(AND('Mapa Riesgos'!$Z$72="Muy Alta",'Mapa Riesgos'!$AB$72="Mayor"),CONCATENATE("R10C",'Mapa Riesgos'!$P$72),"")</f>
        <v/>
      </c>
      <c r="AH15" s="54" t="str">
        <f>IF(AND('Mapa Riesgos'!$Z$67="Muy Alta",'Mapa Riesgos'!$AB$67="Catastrófico"),CONCATENATE("R10C",'Mapa Riesgos'!$P$67),"")</f>
        <v/>
      </c>
      <c r="AI15" s="55" t="str">
        <f>IF(AND('Mapa Riesgos'!$Z$68="Muy Alta",'Mapa Riesgos'!$AB$68="Catastrófico"),CONCATENATE("R10C",'Mapa Riesgos'!$P$68),"")</f>
        <v/>
      </c>
      <c r="AJ15" s="55" t="str">
        <f>IF(AND('Mapa Riesgos'!$Z$69="Muy Alta",'Mapa Riesgos'!$AB$69="Catastrófico"),CONCATENATE("R10C",'Mapa Riesgos'!$P$69),"")</f>
        <v/>
      </c>
      <c r="AK15" s="55" t="str">
        <f>IF(AND('Mapa Riesgos'!$Z$70="Muy Alta",'Mapa Riesgos'!$AB$70="Catastrófico"),CONCATENATE("R10C",'Mapa Riesgos'!$P$70),"")</f>
        <v/>
      </c>
      <c r="AL15" s="55" t="str">
        <f>IF(AND('Mapa Riesgos'!$Z$71="Muy Alta",'Mapa Riesgos'!$AB$71="Catastrófico"),CONCATENATE("R10C",'Mapa Riesgos'!$P$71),"")</f>
        <v/>
      </c>
      <c r="AM15" s="56" t="str">
        <f>IF(AND('Mapa Riesgos'!$Z$72="Muy Alta",'Mapa Riesgos'!$AB$72="Catastrófico"),CONCATENATE("R10C",'Mapa Riesgos'!$P$72),"")</f>
        <v/>
      </c>
      <c r="AN15" s="76"/>
      <c r="AO15" s="542"/>
      <c r="AP15" s="543"/>
      <c r="AQ15" s="543"/>
      <c r="AR15" s="543"/>
      <c r="AS15" s="543"/>
      <c r="AT15" s="544"/>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c r="A16" s="76"/>
      <c r="B16" s="477"/>
      <c r="C16" s="477"/>
      <c r="D16" s="478"/>
      <c r="E16" s="515" t="s">
        <v>107</v>
      </c>
      <c r="F16" s="516"/>
      <c r="G16" s="516"/>
      <c r="H16" s="516"/>
      <c r="I16" s="516"/>
      <c r="J16" s="57" t="str">
        <f ca="1">IF(AND('Mapa Riesgos'!$Z$13="Alta",'Mapa Riesgos'!$AB$13="Leve"),CONCATENATE("R1C",'Mapa Riesgos'!$P$13),"")</f>
        <v/>
      </c>
      <c r="K16" s="58" t="str">
        <f>IF(AND('Mapa Riesgos'!$Z$14="Alta",'Mapa Riesgos'!$AB$14="Leve"),CONCATENATE("R1C",'Mapa Riesgos'!$P$14),"")</f>
        <v/>
      </c>
      <c r="L16" s="58" t="str">
        <f>IF(AND('Mapa Riesgos'!$Z$15="Alta",'Mapa Riesgos'!$AB$15="Leve"),CONCATENATE("R1C",'Mapa Riesgos'!$P$15),"")</f>
        <v/>
      </c>
      <c r="M16" s="58" t="str">
        <f>IF(AND('Mapa Riesgos'!$Z$16="Alta",'Mapa Riesgos'!$AB$16="Leve"),CONCATENATE("R1C",'Mapa Riesgos'!$P$16),"")</f>
        <v/>
      </c>
      <c r="N16" s="58" t="str">
        <f>IF(AND('Mapa Riesgos'!$Z$17="Alta",'Mapa Riesgos'!$AB$17="Leve"),CONCATENATE("R1C",'Mapa Riesgos'!$P$17),"")</f>
        <v/>
      </c>
      <c r="O16" s="59" t="str">
        <f>IF(AND('Mapa Riesgos'!$Z$18="Alta",'Mapa Riesgos'!$AB$18="Leve"),CONCATENATE("R1C",'Mapa Riesgos'!$P$18),"")</f>
        <v/>
      </c>
      <c r="P16" s="57" t="str">
        <f ca="1">IF(AND('Mapa Riesgos'!$Z$13="Alta",'Mapa Riesgos'!$AB$13="Menor"),CONCATENATE("R1C",'Mapa Riesgos'!$P$13),"")</f>
        <v/>
      </c>
      <c r="Q16" s="58" t="str">
        <f>IF(AND('Mapa Riesgos'!$Z$14="Alta",'Mapa Riesgos'!$AB$14="Menor"),CONCATENATE("R1C",'Mapa Riesgos'!$P$14),"")</f>
        <v/>
      </c>
      <c r="R16" s="58" t="str">
        <f>IF(AND('Mapa Riesgos'!$Z$15="Alta",'Mapa Riesgos'!$AB$15="Menor"),CONCATENATE("R1C",'Mapa Riesgos'!$P$15),"")</f>
        <v/>
      </c>
      <c r="S16" s="58" t="str">
        <f>IF(AND('Mapa Riesgos'!$Z$16="Alta",'Mapa Riesgos'!$AB$16="Menor"),CONCATENATE("R1C",'Mapa Riesgos'!$P$16),"")</f>
        <v/>
      </c>
      <c r="T16" s="58" t="str">
        <f>IF(AND('Mapa Riesgos'!$Z$17="Alta",'Mapa Riesgos'!$AB$17="Menor"),CONCATENATE("R1C",'Mapa Riesgos'!$P$17),"")</f>
        <v/>
      </c>
      <c r="U16" s="59" t="str">
        <f>IF(AND('Mapa Riesgos'!$Z$18="Alta",'Mapa Riesgos'!$AB$18="Menor"),CONCATENATE("R1C",'Mapa Riesgos'!$P$18),"")</f>
        <v/>
      </c>
      <c r="V16" s="38" t="str">
        <f ca="1">IF(AND('Mapa Riesgos'!$Z$13="Alta",'Mapa Riesgos'!$AB$13="Moderado"),CONCATENATE("R1C",'Mapa Riesgos'!$P$13),"")</f>
        <v/>
      </c>
      <c r="W16" s="39" t="str">
        <f>IF(AND('Mapa Riesgos'!$Z$14="Alta",'Mapa Riesgos'!$AB$14="Moderado"),CONCATENATE("R1C",'Mapa Riesgos'!$P$14),"")</f>
        <v/>
      </c>
      <c r="X16" s="39" t="str">
        <f>IF(AND('Mapa Riesgos'!$Z$15="Alta",'Mapa Riesgos'!$AB$15="Moderado"),CONCATENATE("R1C",'Mapa Riesgos'!$P$15),"")</f>
        <v/>
      </c>
      <c r="Y16" s="39" t="str">
        <f>IF(AND('Mapa Riesgos'!$Z$16="Alta",'Mapa Riesgos'!$AB$16="Moderado"),CONCATENATE("R1C",'Mapa Riesgos'!$P$16),"")</f>
        <v/>
      </c>
      <c r="Z16" s="39" t="str">
        <f>IF(AND('Mapa Riesgos'!$Z$17="Alta",'Mapa Riesgos'!$AB$17="Moderado"),CONCATENATE("R1C",'Mapa Riesgos'!$P$17),"")</f>
        <v/>
      </c>
      <c r="AA16" s="40" t="str">
        <f>IF(AND('Mapa Riesgos'!$Z$18="Alta",'Mapa Riesgos'!$AB$18="Moderado"),CONCATENATE("R1C",'Mapa Riesgos'!$P$18),"")</f>
        <v/>
      </c>
      <c r="AB16" s="38" t="str">
        <f ca="1">IF(AND('Mapa Riesgos'!$Z$13="Alta",'Mapa Riesgos'!$AB$13="Mayor"),CONCATENATE("R1C",'Mapa Riesgos'!$P$13),"")</f>
        <v/>
      </c>
      <c r="AC16" s="39" t="str">
        <f>IF(AND('Mapa Riesgos'!$Z$14="Alta",'Mapa Riesgos'!$AB$14="Mayor"),CONCATENATE("R1C",'Mapa Riesgos'!$P$14),"")</f>
        <v/>
      </c>
      <c r="AD16" s="39" t="str">
        <f>IF(AND('Mapa Riesgos'!$Z$15="Alta",'Mapa Riesgos'!$AB$15="Mayor"),CONCATENATE("R1C",'Mapa Riesgos'!$P$15),"")</f>
        <v/>
      </c>
      <c r="AE16" s="39" t="str">
        <f>IF(AND('Mapa Riesgos'!$Z$16="Alta",'Mapa Riesgos'!$AB$16="Mayor"),CONCATENATE("R1C",'Mapa Riesgos'!$P$16),"")</f>
        <v/>
      </c>
      <c r="AF16" s="39" t="str">
        <f>IF(AND('Mapa Riesgos'!$Z$17="Alta",'Mapa Riesgos'!$AB$17="Mayor"),CONCATENATE("R1C",'Mapa Riesgos'!$P$17),"")</f>
        <v/>
      </c>
      <c r="AG16" s="40" t="str">
        <f>IF(AND('Mapa Riesgos'!$Z$18="Alta",'Mapa Riesgos'!$AB$18="Mayor"),CONCATENATE("R1C",'Mapa Riesgos'!$P$18),"")</f>
        <v/>
      </c>
      <c r="AH16" s="41" t="str">
        <f ca="1">IF(AND('Mapa Riesgos'!$Z$13="Alta",'Mapa Riesgos'!$AB$13="Catastrófico"),CONCATENATE("R1C",'Mapa Riesgos'!$P$13),"")</f>
        <v/>
      </c>
      <c r="AI16" s="42" t="str">
        <f>IF(AND('Mapa Riesgos'!$Z$14="Alta",'Mapa Riesgos'!$AB$14="Catastrófico"),CONCATENATE("R1C",'Mapa Riesgos'!$P$14),"")</f>
        <v/>
      </c>
      <c r="AJ16" s="42" t="str">
        <f>IF(AND('Mapa Riesgos'!$Z$15="Alta",'Mapa Riesgos'!$AB$15="Catastrófico"),CONCATENATE("R1C",'Mapa Riesgos'!$P$15),"")</f>
        <v/>
      </c>
      <c r="AK16" s="42" t="str">
        <f>IF(AND('Mapa Riesgos'!$Z$16="Alta",'Mapa Riesgos'!$AB$16="Catastrófico"),CONCATENATE("R1C",'Mapa Riesgos'!$P$16),"")</f>
        <v/>
      </c>
      <c r="AL16" s="42" t="str">
        <f>IF(AND('Mapa Riesgos'!$Z$17="Alta",'Mapa Riesgos'!$AB$17="Catastrófico"),CONCATENATE("R1C",'Mapa Riesgos'!$P$17),"")</f>
        <v/>
      </c>
      <c r="AM16" s="43" t="str">
        <f>IF(AND('Mapa Riesgos'!$Z$18="Alta",'Mapa Riesgos'!$AB$18="Catastrófico"),CONCATENATE("R1C",'Mapa Riesgos'!$P$18),"")</f>
        <v/>
      </c>
      <c r="AN16" s="76"/>
      <c r="AO16" s="525" t="s">
        <v>76</v>
      </c>
      <c r="AP16" s="526"/>
      <c r="AQ16" s="526"/>
      <c r="AR16" s="526"/>
      <c r="AS16" s="526"/>
      <c r="AT16" s="527"/>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c r="A17" s="76"/>
      <c r="B17" s="477"/>
      <c r="C17" s="477"/>
      <c r="D17" s="478"/>
      <c r="E17" s="534"/>
      <c r="F17" s="535"/>
      <c r="G17" s="535"/>
      <c r="H17" s="535"/>
      <c r="I17" s="535"/>
      <c r="J17" s="60" t="str">
        <f ca="1">IF(AND('Mapa Riesgos'!$Z$19="Alta",'Mapa Riesgos'!$AB$19="Leve"),CONCATENATE("R2C",'Mapa Riesgos'!$P$19),"")</f>
        <v/>
      </c>
      <c r="K17" s="61" t="str">
        <f ca="1">IF(AND('Mapa Riesgos'!$Z$20="Alta",'Mapa Riesgos'!$AB$20="Leve"),CONCATENATE("R2C",'Mapa Riesgos'!$P$20),"")</f>
        <v/>
      </c>
      <c r="L17" s="61" t="str">
        <f>IF(AND('Mapa Riesgos'!$Z$21="Alta",'Mapa Riesgos'!$AB$21="Leve"),CONCATENATE("R2C",'Mapa Riesgos'!$P$21),"")</f>
        <v/>
      </c>
      <c r="M17" s="61" t="str">
        <f>IF(AND('Mapa Riesgos'!$Z$22="Alta",'Mapa Riesgos'!$AB$22="Leve"),CONCATENATE("R2C",'Mapa Riesgos'!$P$22),"")</f>
        <v/>
      </c>
      <c r="N17" s="61" t="str">
        <f>IF(AND('Mapa Riesgos'!$Z$23="Alta",'Mapa Riesgos'!$AB$23="Leve"),CONCATENATE("R2C",'Mapa Riesgos'!$P$23),"")</f>
        <v/>
      </c>
      <c r="O17" s="62" t="str">
        <f>IF(AND('Mapa Riesgos'!$Z$24="Alta",'Mapa Riesgos'!$AB$24="Leve"),CONCATENATE("R2C",'Mapa Riesgos'!$P$24),"")</f>
        <v/>
      </c>
      <c r="P17" s="60" t="str">
        <f ca="1">IF(AND('Mapa Riesgos'!$Z$19="Alta",'Mapa Riesgos'!$AB$19="Menor"),CONCATENATE("R2C",'Mapa Riesgos'!$P$19),"")</f>
        <v/>
      </c>
      <c r="Q17" s="61" t="str">
        <f ca="1">IF(AND('Mapa Riesgos'!$Z$20="Alta",'Mapa Riesgos'!$AB$20="Menor"),CONCATENATE("R2C",'Mapa Riesgos'!$P$20),"")</f>
        <v/>
      </c>
      <c r="R17" s="61" t="str">
        <f>IF(AND('Mapa Riesgos'!$Z$21="Alta",'Mapa Riesgos'!$AB$21="Menor"),CONCATENATE("R2C",'Mapa Riesgos'!$P$21),"")</f>
        <v/>
      </c>
      <c r="S17" s="61" t="str">
        <f>IF(AND('Mapa Riesgos'!$Z$22="Alta",'Mapa Riesgos'!$AB$22="Menor"),CONCATENATE("R2C",'Mapa Riesgos'!$P$22),"")</f>
        <v/>
      </c>
      <c r="T17" s="61" t="str">
        <f>IF(AND('Mapa Riesgos'!$Z$23="Alta",'Mapa Riesgos'!$AB$23="Menor"),CONCATENATE("R2C",'Mapa Riesgos'!$P$23),"")</f>
        <v/>
      </c>
      <c r="U17" s="62" t="str">
        <f>IF(AND('Mapa Riesgos'!$Z$24="Alta",'Mapa Riesgos'!$AB$24="Menor"),CONCATENATE("R2C",'Mapa Riesgos'!$P$24),"")</f>
        <v/>
      </c>
      <c r="V17" s="44" t="str">
        <f ca="1">IF(AND('Mapa Riesgos'!$Z$19="Alta",'Mapa Riesgos'!$AB$19="Moderado"),CONCATENATE("R2C",'Mapa Riesgos'!$P$19),"")</f>
        <v/>
      </c>
      <c r="W17" s="45" t="str">
        <f ca="1">IF(AND('Mapa Riesgos'!$Z$20="Alta",'Mapa Riesgos'!$AB$20="Moderado"),CONCATENATE("R2C",'Mapa Riesgos'!$P$20),"")</f>
        <v/>
      </c>
      <c r="X17" s="45" t="str">
        <f>IF(AND('Mapa Riesgos'!$Z$21="Alta",'Mapa Riesgos'!$AB$21="Moderado"),CONCATENATE("R2C",'Mapa Riesgos'!$P$21),"")</f>
        <v/>
      </c>
      <c r="Y17" s="45" t="str">
        <f>IF(AND('Mapa Riesgos'!$Z$22="Alta",'Mapa Riesgos'!$AB$22="Moderado"),CONCATENATE("R2C",'Mapa Riesgos'!$P$22),"")</f>
        <v/>
      </c>
      <c r="Z17" s="45" t="str">
        <f>IF(AND('Mapa Riesgos'!$Z$23="Alta",'Mapa Riesgos'!$AB$23="Moderado"),CONCATENATE("R2C",'Mapa Riesgos'!$P$23),"")</f>
        <v/>
      </c>
      <c r="AA17" s="46" t="str">
        <f>IF(AND('Mapa Riesgos'!$Z$24="Alta",'Mapa Riesgos'!$AB$24="Moderado"),CONCATENATE("R2C",'Mapa Riesgos'!$P$24),"")</f>
        <v/>
      </c>
      <c r="AB17" s="44" t="str">
        <f ca="1">IF(AND('Mapa Riesgos'!$Z$19="Alta",'Mapa Riesgos'!$AB$19="Mayor"),CONCATENATE("R2C",'Mapa Riesgos'!$P$19),"")</f>
        <v/>
      </c>
      <c r="AC17" s="45" t="str">
        <f ca="1">IF(AND('Mapa Riesgos'!$Z$20="Alta",'Mapa Riesgos'!$AB$20="Mayor"),CONCATENATE("R2C",'Mapa Riesgos'!$P$20),"")</f>
        <v/>
      </c>
      <c r="AD17" s="45" t="str">
        <f>IF(AND('Mapa Riesgos'!$Z$21="Alta",'Mapa Riesgos'!$AB$21="Mayor"),CONCATENATE("R2C",'Mapa Riesgos'!$P$21),"")</f>
        <v/>
      </c>
      <c r="AE17" s="45" t="str">
        <f>IF(AND('Mapa Riesgos'!$Z$22="Alta",'Mapa Riesgos'!$AB$22="Mayor"),CONCATENATE("R2C",'Mapa Riesgos'!$P$22),"")</f>
        <v/>
      </c>
      <c r="AF17" s="45" t="str">
        <f>IF(AND('Mapa Riesgos'!$Z$23="Alta",'Mapa Riesgos'!$AB$23="Mayor"),CONCATENATE("R2C",'Mapa Riesgos'!$P$23),"")</f>
        <v/>
      </c>
      <c r="AG17" s="46" t="str">
        <f>IF(AND('Mapa Riesgos'!$Z$24="Alta",'Mapa Riesgos'!$AB$24="Mayor"),CONCATENATE("R2C",'Mapa Riesgos'!$P$24),"")</f>
        <v/>
      </c>
      <c r="AH17" s="47" t="str">
        <f ca="1">IF(AND('Mapa Riesgos'!$Z$19="Alta",'Mapa Riesgos'!$AB$19="Catastrófico"),CONCATENATE("R2C",'Mapa Riesgos'!$P$19),"")</f>
        <v/>
      </c>
      <c r="AI17" s="48" t="str">
        <f ca="1">IF(AND('Mapa Riesgos'!$Z$20="Alta",'Mapa Riesgos'!$AB$20="Catastrófico"),CONCATENATE("R2C",'Mapa Riesgos'!$P$20),"")</f>
        <v/>
      </c>
      <c r="AJ17" s="48" t="str">
        <f>IF(AND('Mapa Riesgos'!$Z$21="Alta",'Mapa Riesgos'!$AB$21="Catastrófico"),CONCATENATE("R2C",'Mapa Riesgos'!$P$21),"")</f>
        <v/>
      </c>
      <c r="AK17" s="48" t="str">
        <f>IF(AND('Mapa Riesgos'!$Z$22="Alta",'Mapa Riesgos'!$AB$22="Catastrófico"),CONCATENATE("R2C",'Mapa Riesgos'!$P$22),"")</f>
        <v/>
      </c>
      <c r="AL17" s="48" t="str">
        <f>IF(AND('Mapa Riesgos'!$Z$23="Alta",'Mapa Riesgos'!$AB$23="Catastrófico"),CONCATENATE("R2C",'Mapa Riesgos'!$P$23),"")</f>
        <v/>
      </c>
      <c r="AM17" s="49" t="str">
        <f>IF(AND('Mapa Riesgos'!$Z$24="Alta",'Mapa Riesgos'!$AB$24="Catastrófico"),CONCATENATE("R2C",'Mapa Riesgos'!$P$24),"")</f>
        <v/>
      </c>
      <c r="AN17" s="76"/>
      <c r="AO17" s="528"/>
      <c r="AP17" s="529"/>
      <c r="AQ17" s="529"/>
      <c r="AR17" s="529"/>
      <c r="AS17" s="529"/>
      <c r="AT17" s="530"/>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c r="A18" s="76"/>
      <c r="B18" s="477"/>
      <c r="C18" s="477"/>
      <c r="D18" s="478"/>
      <c r="E18" s="518"/>
      <c r="F18" s="519"/>
      <c r="G18" s="519"/>
      <c r="H18" s="519"/>
      <c r="I18" s="535"/>
      <c r="J18" s="60" t="str">
        <f ca="1">IF(AND('Mapa Riesgos'!$Z$25="Alta",'Mapa Riesgos'!$AB$25="Leve"),CONCATENATE("R3C",'Mapa Riesgos'!$P$25),"")</f>
        <v/>
      </c>
      <c r="K18" s="61" t="str">
        <f ca="1">IF(AND('Mapa Riesgos'!$Z$26="Alta",'Mapa Riesgos'!$AB$26="Leve"),CONCATENATE("R3C",'Mapa Riesgos'!$P$26),"")</f>
        <v/>
      </c>
      <c r="L18" s="61" t="str">
        <f>IF(AND('Mapa Riesgos'!$Z$27="Alta",'Mapa Riesgos'!$AB$27="Leve"),CONCATENATE("R3C",'Mapa Riesgos'!$P$27),"")</f>
        <v/>
      </c>
      <c r="M18" s="61" t="str">
        <f>IF(AND('Mapa Riesgos'!$Z$28="Alta",'Mapa Riesgos'!$AB$28="Leve"),CONCATENATE("R3C",'Mapa Riesgos'!$P$28),"")</f>
        <v/>
      </c>
      <c r="N18" s="61" t="str">
        <f>IF(AND('Mapa Riesgos'!$Z$29="Alta",'Mapa Riesgos'!$AB$29="Leve"),CONCATENATE("R3C",'Mapa Riesgos'!$P$29),"")</f>
        <v/>
      </c>
      <c r="O18" s="62" t="str">
        <f>IF(AND('Mapa Riesgos'!$Z$30="Alta",'Mapa Riesgos'!$AB$30="Leve"),CONCATENATE("R3C",'Mapa Riesgos'!$P$30),"")</f>
        <v/>
      </c>
      <c r="P18" s="60" t="str">
        <f ca="1">IF(AND('Mapa Riesgos'!$Z$25="Alta",'Mapa Riesgos'!$AB$25="Menor"),CONCATENATE("R3C",'Mapa Riesgos'!$P$25),"")</f>
        <v/>
      </c>
      <c r="Q18" s="61" t="str">
        <f ca="1">IF(AND('Mapa Riesgos'!$Z$26="Alta",'Mapa Riesgos'!$AB$26="Menor"),CONCATENATE("R3C",'Mapa Riesgos'!$P$26),"")</f>
        <v/>
      </c>
      <c r="R18" s="61" t="str">
        <f>IF(AND('Mapa Riesgos'!$Z$27="Alta",'Mapa Riesgos'!$AB$27="Menor"),CONCATENATE("R3C",'Mapa Riesgos'!$P$27),"")</f>
        <v/>
      </c>
      <c r="S18" s="61" t="str">
        <f>IF(AND('Mapa Riesgos'!$Z$28="Alta",'Mapa Riesgos'!$AB$28="Menor"),CONCATENATE("R3C",'Mapa Riesgos'!$P$28),"")</f>
        <v/>
      </c>
      <c r="T18" s="61" t="str">
        <f>IF(AND('Mapa Riesgos'!$Z$29="Alta",'Mapa Riesgos'!$AB$29="Menor"),CONCATENATE("R3C",'Mapa Riesgos'!$P$29),"")</f>
        <v/>
      </c>
      <c r="U18" s="62" t="str">
        <f>IF(AND('Mapa Riesgos'!$Z$30="Alta",'Mapa Riesgos'!$AB$30="Menor"),CONCATENATE("R3C",'Mapa Riesgos'!$P$30),"")</f>
        <v/>
      </c>
      <c r="V18" s="44" t="str">
        <f ca="1">IF(AND('Mapa Riesgos'!$Z$25="Alta",'Mapa Riesgos'!$AB$25="Moderado"),CONCATENATE("R3C",'Mapa Riesgos'!$P$25),"")</f>
        <v/>
      </c>
      <c r="W18" s="45" t="str">
        <f ca="1">IF(AND('Mapa Riesgos'!$Z$26="Alta",'Mapa Riesgos'!$AB$26="Moderado"),CONCATENATE("R3C",'Mapa Riesgos'!$P$26),"")</f>
        <v/>
      </c>
      <c r="X18" s="45" t="str">
        <f>IF(AND('Mapa Riesgos'!$Z$27="Alta",'Mapa Riesgos'!$AB$27="Moderado"),CONCATENATE("R3C",'Mapa Riesgos'!$P$27),"")</f>
        <v/>
      </c>
      <c r="Y18" s="45" t="str">
        <f>IF(AND('Mapa Riesgos'!$Z$28="Alta",'Mapa Riesgos'!$AB$28="Moderado"),CONCATENATE("R3C",'Mapa Riesgos'!$P$28),"")</f>
        <v/>
      </c>
      <c r="Z18" s="45" t="str">
        <f>IF(AND('Mapa Riesgos'!$Z$29="Alta",'Mapa Riesgos'!$AB$29="Moderado"),CONCATENATE("R3C",'Mapa Riesgos'!$P$29),"")</f>
        <v/>
      </c>
      <c r="AA18" s="46" t="str">
        <f>IF(AND('Mapa Riesgos'!$Z$30="Alta",'Mapa Riesgos'!$AB$30="Moderado"),CONCATENATE("R3C",'Mapa Riesgos'!$P$30),"")</f>
        <v/>
      </c>
      <c r="AB18" s="44" t="str">
        <f ca="1">IF(AND('Mapa Riesgos'!$Z$25="Alta",'Mapa Riesgos'!$AB$25="Mayor"),CONCATENATE("R3C",'Mapa Riesgos'!$P$25),"")</f>
        <v/>
      </c>
      <c r="AC18" s="45" t="str">
        <f ca="1">IF(AND('Mapa Riesgos'!$Z$26="Alta",'Mapa Riesgos'!$AB$26="Mayor"),CONCATENATE("R3C",'Mapa Riesgos'!$P$26),"")</f>
        <v/>
      </c>
      <c r="AD18" s="45" t="str">
        <f>IF(AND('Mapa Riesgos'!$Z$27="Alta",'Mapa Riesgos'!$AB$27="Mayor"),CONCATENATE("R3C",'Mapa Riesgos'!$P$27),"")</f>
        <v/>
      </c>
      <c r="AE18" s="45" t="str">
        <f>IF(AND('Mapa Riesgos'!$Z$28="Alta",'Mapa Riesgos'!$AB$28="Mayor"),CONCATENATE("R3C",'Mapa Riesgos'!$P$28),"")</f>
        <v/>
      </c>
      <c r="AF18" s="45" t="str">
        <f>IF(AND('Mapa Riesgos'!$Z$29="Alta",'Mapa Riesgos'!$AB$29="Mayor"),CONCATENATE("R3C",'Mapa Riesgos'!$P$29),"")</f>
        <v/>
      </c>
      <c r="AG18" s="46" t="str">
        <f>IF(AND('Mapa Riesgos'!$Z$30="Alta",'Mapa Riesgos'!$AB$30="Mayor"),CONCATENATE("R3C",'Mapa Riesgos'!$P$30),"")</f>
        <v/>
      </c>
      <c r="AH18" s="47" t="str">
        <f ca="1">IF(AND('Mapa Riesgos'!$Z$25="Alta",'Mapa Riesgos'!$AB$25="Catastrófico"),CONCATENATE("R3C",'Mapa Riesgos'!$P$25),"")</f>
        <v/>
      </c>
      <c r="AI18" s="48" t="str">
        <f ca="1">IF(AND('Mapa Riesgos'!$Z$26="Alta",'Mapa Riesgos'!$AB$26="Catastrófico"),CONCATENATE("R3C",'Mapa Riesgos'!$P$26),"")</f>
        <v/>
      </c>
      <c r="AJ18" s="48" t="str">
        <f>IF(AND('Mapa Riesgos'!$Z$27="Alta",'Mapa Riesgos'!$AB$27="Catastrófico"),CONCATENATE("R3C",'Mapa Riesgos'!$P$27),"")</f>
        <v/>
      </c>
      <c r="AK18" s="48" t="str">
        <f>IF(AND('Mapa Riesgos'!$Z$28="Alta",'Mapa Riesgos'!$AB$28="Catastrófico"),CONCATENATE("R3C",'Mapa Riesgos'!$P$28),"")</f>
        <v/>
      </c>
      <c r="AL18" s="48" t="str">
        <f>IF(AND('Mapa Riesgos'!$Z$29="Alta",'Mapa Riesgos'!$AB$29="Catastrófico"),CONCATENATE("R3C",'Mapa Riesgos'!$P$29),"")</f>
        <v/>
      </c>
      <c r="AM18" s="49" t="str">
        <f>IF(AND('Mapa Riesgos'!$Z$30="Alta",'Mapa Riesgos'!$AB$30="Catastrófico"),CONCATENATE("R3C",'Mapa Riesgos'!$P$30),"")</f>
        <v/>
      </c>
      <c r="AN18" s="76"/>
      <c r="AO18" s="528"/>
      <c r="AP18" s="529"/>
      <c r="AQ18" s="529"/>
      <c r="AR18" s="529"/>
      <c r="AS18" s="529"/>
      <c r="AT18" s="530"/>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c r="A19" s="76"/>
      <c r="B19" s="477"/>
      <c r="C19" s="477"/>
      <c r="D19" s="478"/>
      <c r="E19" s="518"/>
      <c r="F19" s="519"/>
      <c r="G19" s="519"/>
      <c r="H19" s="519"/>
      <c r="I19" s="535"/>
      <c r="J19" s="60" t="str">
        <f ca="1">IF(AND('Mapa Riesgos'!$Z$31="Alta",'Mapa Riesgos'!$AB$31="Leve"),CONCATENATE("R4C",'Mapa Riesgos'!$P$31),"")</f>
        <v/>
      </c>
      <c r="K19" s="61" t="str">
        <f ca="1">IF(AND('Mapa Riesgos'!$Z$32="Alta",'Mapa Riesgos'!$AB$32="Leve"),CONCATENATE("R4C",'Mapa Riesgos'!$P$32),"")</f>
        <v/>
      </c>
      <c r="L19" s="61" t="str">
        <f>IF(AND('Mapa Riesgos'!$Z$33="Alta",'Mapa Riesgos'!$AB$33="Leve"),CONCATENATE("R4C",'Mapa Riesgos'!$P$33),"")</f>
        <v/>
      </c>
      <c r="M19" s="61" t="str">
        <f>IF(AND('Mapa Riesgos'!$Z$34="Alta",'Mapa Riesgos'!$AB$34="Leve"),CONCATENATE("R4C",'Mapa Riesgos'!$P$34),"")</f>
        <v/>
      </c>
      <c r="N19" s="61" t="str">
        <f>IF(AND('Mapa Riesgos'!$Z$35="Alta",'Mapa Riesgos'!$AB$35="Leve"),CONCATENATE("R4C",'Mapa Riesgos'!$P$35),"")</f>
        <v/>
      </c>
      <c r="O19" s="62" t="str">
        <f>IF(AND('Mapa Riesgos'!$Z$36="Alta",'Mapa Riesgos'!$AB$36="Leve"),CONCATENATE("R4C",'Mapa Riesgos'!$P$36),"")</f>
        <v/>
      </c>
      <c r="P19" s="60" t="str">
        <f ca="1">IF(AND('Mapa Riesgos'!$Z$31="Alta",'Mapa Riesgos'!$AB$31="Menor"),CONCATENATE("R4C",'Mapa Riesgos'!$P$31),"")</f>
        <v/>
      </c>
      <c r="Q19" s="61" t="str">
        <f ca="1">IF(AND('Mapa Riesgos'!$Z$32="Alta",'Mapa Riesgos'!$AB$32="Menor"),CONCATENATE("R4C",'Mapa Riesgos'!$P$32),"")</f>
        <v/>
      </c>
      <c r="R19" s="61" t="str">
        <f>IF(AND('Mapa Riesgos'!$Z$33="Alta",'Mapa Riesgos'!$AB$33="Menor"),CONCATENATE("R4C",'Mapa Riesgos'!$P$33),"")</f>
        <v/>
      </c>
      <c r="S19" s="61" t="str">
        <f>IF(AND('Mapa Riesgos'!$Z$34="Alta",'Mapa Riesgos'!$AB$34="Menor"),CONCATENATE("R4C",'Mapa Riesgos'!$P$34),"")</f>
        <v/>
      </c>
      <c r="T19" s="61" t="str">
        <f>IF(AND('Mapa Riesgos'!$Z$35="Alta",'Mapa Riesgos'!$AB$35="Menor"),CONCATENATE("R4C",'Mapa Riesgos'!$P$35),"")</f>
        <v/>
      </c>
      <c r="U19" s="62" t="str">
        <f>IF(AND('Mapa Riesgos'!$Z$36="Alta",'Mapa Riesgos'!$AB$36="Menor"),CONCATENATE("R4C",'Mapa Riesgos'!$P$36),"")</f>
        <v/>
      </c>
      <c r="V19" s="44" t="str">
        <f ca="1">IF(AND('Mapa Riesgos'!$Z$31="Alta",'Mapa Riesgos'!$AB$31="Moderado"),CONCATENATE("R4C",'Mapa Riesgos'!$P$31),"")</f>
        <v/>
      </c>
      <c r="W19" s="45" t="str">
        <f ca="1">IF(AND('Mapa Riesgos'!$Z$32="Alta",'Mapa Riesgos'!$AB$32="Moderado"),CONCATENATE("R4C",'Mapa Riesgos'!$P$32),"")</f>
        <v/>
      </c>
      <c r="X19" s="50" t="str">
        <f>IF(AND('Mapa Riesgos'!$Z$33="Alta",'Mapa Riesgos'!$AB$33="Moderado"),CONCATENATE("R4C",'Mapa Riesgos'!$P$33),"")</f>
        <v/>
      </c>
      <c r="Y19" s="50" t="str">
        <f>IF(AND('Mapa Riesgos'!$Z$34="Alta",'Mapa Riesgos'!$AB$34="Moderado"),CONCATENATE("R4C",'Mapa Riesgos'!$P$34),"")</f>
        <v/>
      </c>
      <c r="Z19" s="50" t="str">
        <f>IF(AND('Mapa Riesgos'!$Z$35="Alta",'Mapa Riesgos'!$AB$35="Moderado"),CONCATENATE("R4C",'Mapa Riesgos'!$P$35),"")</f>
        <v/>
      </c>
      <c r="AA19" s="46" t="str">
        <f>IF(AND('Mapa Riesgos'!$Z$36="Alta",'Mapa Riesgos'!$AB$36="Moderado"),CONCATENATE("R4C",'Mapa Riesgos'!$P$36),"")</f>
        <v/>
      </c>
      <c r="AB19" s="44" t="str">
        <f ca="1">IF(AND('Mapa Riesgos'!$Z$31="Alta",'Mapa Riesgos'!$AB$31="Mayor"),CONCATENATE("R4C",'Mapa Riesgos'!$P$31),"")</f>
        <v/>
      </c>
      <c r="AC19" s="45" t="str">
        <f ca="1">IF(AND('Mapa Riesgos'!$Z$32="Alta",'Mapa Riesgos'!$AB$32="Mayor"),CONCATENATE("R4C",'Mapa Riesgos'!$P$32),"")</f>
        <v/>
      </c>
      <c r="AD19" s="50" t="str">
        <f>IF(AND('Mapa Riesgos'!$Z$33="Alta",'Mapa Riesgos'!$AB$33="Mayor"),CONCATENATE("R4C",'Mapa Riesgos'!$P$33),"")</f>
        <v/>
      </c>
      <c r="AE19" s="50" t="str">
        <f>IF(AND('Mapa Riesgos'!$Z$34="Alta",'Mapa Riesgos'!$AB$34="Mayor"),CONCATENATE("R4C",'Mapa Riesgos'!$P$34),"")</f>
        <v/>
      </c>
      <c r="AF19" s="50" t="str">
        <f>IF(AND('Mapa Riesgos'!$Z$35="Alta",'Mapa Riesgos'!$AB$35="Mayor"),CONCATENATE("R4C",'Mapa Riesgos'!$P$35),"")</f>
        <v/>
      </c>
      <c r="AG19" s="46" t="str">
        <f>IF(AND('Mapa Riesgos'!$Z$36="Alta",'Mapa Riesgos'!$AB$36="Mayor"),CONCATENATE("R4C",'Mapa Riesgos'!$P$36),"")</f>
        <v/>
      </c>
      <c r="AH19" s="47" t="str">
        <f ca="1">IF(AND('Mapa Riesgos'!$Z$31="Alta",'Mapa Riesgos'!$AB$31="Catastrófico"),CONCATENATE("R4C",'Mapa Riesgos'!$P$31),"")</f>
        <v/>
      </c>
      <c r="AI19" s="48" t="str">
        <f ca="1">IF(AND('Mapa Riesgos'!$Z$32="Alta",'Mapa Riesgos'!$AB$32="Catastrófico"),CONCATENATE("R4C",'Mapa Riesgos'!$P$32),"")</f>
        <v/>
      </c>
      <c r="AJ19" s="48" t="str">
        <f>IF(AND('Mapa Riesgos'!$Z$33="Alta",'Mapa Riesgos'!$AB$33="Catastrófico"),CONCATENATE("R4C",'Mapa Riesgos'!$P$33),"")</f>
        <v/>
      </c>
      <c r="AK19" s="48" t="str">
        <f>IF(AND('Mapa Riesgos'!$Z$34="Alta",'Mapa Riesgos'!$AB$34="Catastrófico"),CONCATENATE("R4C",'Mapa Riesgos'!$P$34),"")</f>
        <v/>
      </c>
      <c r="AL19" s="48" t="str">
        <f>IF(AND('Mapa Riesgos'!$Z$35="Alta",'Mapa Riesgos'!$AB$35="Catastrófico"),CONCATENATE("R4C",'Mapa Riesgos'!$P$35),"")</f>
        <v/>
      </c>
      <c r="AM19" s="49" t="str">
        <f>IF(AND('Mapa Riesgos'!$Z$36="Alta",'Mapa Riesgos'!$AB$36="Catastrófico"),CONCATENATE("R4C",'Mapa Riesgos'!$P$36),"")</f>
        <v/>
      </c>
      <c r="AN19" s="76"/>
      <c r="AO19" s="528"/>
      <c r="AP19" s="529"/>
      <c r="AQ19" s="529"/>
      <c r="AR19" s="529"/>
      <c r="AS19" s="529"/>
      <c r="AT19" s="530"/>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c r="A20" s="76"/>
      <c r="B20" s="477"/>
      <c r="C20" s="477"/>
      <c r="D20" s="478"/>
      <c r="E20" s="518"/>
      <c r="F20" s="519"/>
      <c r="G20" s="519"/>
      <c r="H20" s="519"/>
      <c r="I20" s="535"/>
      <c r="J20" s="60" t="str">
        <f ca="1">IF(AND('Mapa Riesgos'!$Z$37="Alta",'Mapa Riesgos'!$AB$37="Leve"),CONCATENATE("R5C",'Mapa Riesgos'!$P$37),"")</f>
        <v/>
      </c>
      <c r="K20" s="61" t="str">
        <f>IF(AND('Mapa Riesgos'!$Z$38="Alta",'Mapa Riesgos'!$AB$38="Leve"),CONCATENATE("R5C",'Mapa Riesgos'!$P$38),"")</f>
        <v/>
      </c>
      <c r="L20" s="61" t="str">
        <f>IF(AND('Mapa Riesgos'!$Z$39="Alta",'Mapa Riesgos'!$AB$39="Leve"),CONCATENATE("R5C",'Mapa Riesgos'!$P$39),"")</f>
        <v/>
      </c>
      <c r="M20" s="61" t="str">
        <f>IF(AND('Mapa Riesgos'!$Z$40="Alta",'Mapa Riesgos'!$AB$40="Leve"),CONCATENATE("R5C",'Mapa Riesgos'!$P$40),"")</f>
        <v/>
      </c>
      <c r="N20" s="61" t="str">
        <f>IF(AND('Mapa Riesgos'!$Z$41="Alta",'Mapa Riesgos'!$AB$41="Leve"),CONCATENATE("R5C",'Mapa Riesgos'!$P$41),"")</f>
        <v/>
      </c>
      <c r="O20" s="62" t="str">
        <f>IF(AND('Mapa Riesgos'!$Z$42="Alta",'Mapa Riesgos'!$AB$42="Leve"),CONCATENATE("R5C",'Mapa Riesgos'!$P$42),"")</f>
        <v/>
      </c>
      <c r="P20" s="60" t="str">
        <f ca="1">IF(AND('Mapa Riesgos'!$Z$37="Alta",'Mapa Riesgos'!$AB$37="Menor"),CONCATENATE("R5C",'Mapa Riesgos'!$P$37),"")</f>
        <v/>
      </c>
      <c r="Q20" s="61" t="str">
        <f>IF(AND('Mapa Riesgos'!$Z$38="Alta",'Mapa Riesgos'!$AB$38="Menor"),CONCATENATE("R5C",'Mapa Riesgos'!$P$38),"")</f>
        <v/>
      </c>
      <c r="R20" s="61" t="str">
        <f>IF(AND('Mapa Riesgos'!$Z$39="Alta",'Mapa Riesgos'!$AB$39="Menor"),CONCATENATE("R5C",'Mapa Riesgos'!$P$39),"")</f>
        <v/>
      </c>
      <c r="S20" s="61" t="str">
        <f>IF(AND('Mapa Riesgos'!$Z$40="Alta",'Mapa Riesgos'!$AB$40="Menor"),CONCATENATE("R5C",'Mapa Riesgos'!$P$40),"")</f>
        <v/>
      </c>
      <c r="T20" s="61" t="str">
        <f>IF(AND('Mapa Riesgos'!$Z$41="Alta",'Mapa Riesgos'!$AB$41="Menor"),CONCATENATE("R5C",'Mapa Riesgos'!$P$41),"")</f>
        <v/>
      </c>
      <c r="U20" s="62" t="str">
        <f>IF(AND('Mapa Riesgos'!$Z$42="Alta",'Mapa Riesgos'!$AB$42="Menor"),CONCATENATE("R5C",'Mapa Riesgos'!$P$42),"")</f>
        <v/>
      </c>
      <c r="V20" s="44" t="str">
        <f ca="1">IF(AND('Mapa Riesgos'!$Z$37="Alta",'Mapa Riesgos'!$AB$37="Moderado"),CONCATENATE("R5C",'Mapa Riesgos'!$P$37),"")</f>
        <v/>
      </c>
      <c r="W20" s="45" t="str">
        <f>IF(AND('Mapa Riesgos'!$Z$38="Alta",'Mapa Riesgos'!$AB$38="Moderado"),CONCATENATE("R5C",'Mapa Riesgos'!$P$38),"")</f>
        <v/>
      </c>
      <c r="X20" s="50" t="str">
        <f>IF(AND('Mapa Riesgos'!$Z$39="Alta",'Mapa Riesgos'!$AB$39="Moderado"),CONCATENATE("R5C",'Mapa Riesgos'!$P$39),"")</f>
        <v/>
      </c>
      <c r="Y20" s="50" t="str">
        <f>IF(AND('Mapa Riesgos'!$Z$40="Alta",'Mapa Riesgos'!$AB$40="Moderado"),CONCATENATE("R5C",'Mapa Riesgos'!$P$40),"")</f>
        <v/>
      </c>
      <c r="Z20" s="50" t="str">
        <f>IF(AND('Mapa Riesgos'!$Z$41="Alta",'Mapa Riesgos'!$AB$41="Moderado"),CONCATENATE("R5C",'Mapa Riesgos'!$P$41),"")</f>
        <v/>
      </c>
      <c r="AA20" s="46" t="str">
        <f>IF(AND('Mapa Riesgos'!$Z$42="Alta",'Mapa Riesgos'!$AB$42="Moderado"),CONCATENATE("R5C",'Mapa Riesgos'!$P$42),"")</f>
        <v/>
      </c>
      <c r="AB20" s="44" t="str">
        <f ca="1">IF(AND('Mapa Riesgos'!$Z$37="Alta",'Mapa Riesgos'!$AB$37="Mayor"),CONCATENATE("R5C",'Mapa Riesgos'!$P$37),"")</f>
        <v/>
      </c>
      <c r="AC20" s="45" t="str">
        <f>IF(AND('Mapa Riesgos'!$Z$38="Alta",'Mapa Riesgos'!$AB$38="Mayor"),CONCATENATE("R5C",'Mapa Riesgos'!$P$38),"")</f>
        <v/>
      </c>
      <c r="AD20" s="50" t="str">
        <f>IF(AND('Mapa Riesgos'!$Z$39="Alta",'Mapa Riesgos'!$AB$39="Mayor"),CONCATENATE("R5C",'Mapa Riesgos'!$P$39),"")</f>
        <v/>
      </c>
      <c r="AE20" s="50" t="str">
        <f>IF(AND('Mapa Riesgos'!$Z$40="Alta",'Mapa Riesgos'!$AB$40="Mayor"),CONCATENATE("R5C",'Mapa Riesgos'!$P$40),"")</f>
        <v/>
      </c>
      <c r="AF20" s="50" t="str">
        <f>IF(AND('Mapa Riesgos'!$Z$41="Alta",'Mapa Riesgos'!$AB$41="Mayor"),CONCATENATE("R5C",'Mapa Riesgos'!$P$41),"")</f>
        <v/>
      </c>
      <c r="AG20" s="46" t="str">
        <f>IF(AND('Mapa Riesgos'!$Z$42="Alta",'Mapa Riesgos'!$AB$42="Mayor"),CONCATENATE("R5C",'Mapa Riesgos'!$P$42),"")</f>
        <v/>
      </c>
      <c r="AH20" s="47" t="str">
        <f ca="1">IF(AND('Mapa Riesgos'!$Z$37="Alta",'Mapa Riesgos'!$AB$37="Catastrófico"),CONCATENATE("R5C",'Mapa Riesgos'!$P$37),"")</f>
        <v/>
      </c>
      <c r="AI20" s="48" t="str">
        <f>IF(AND('Mapa Riesgos'!$Z$38="Alta",'Mapa Riesgos'!$AB$38="Catastrófico"),CONCATENATE("R5C",'Mapa Riesgos'!$P$38),"")</f>
        <v/>
      </c>
      <c r="AJ20" s="48" t="str">
        <f>IF(AND('Mapa Riesgos'!$Z$39="Alta",'Mapa Riesgos'!$AB$39="Catastrófico"),CONCATENATE("R5C",'Mapa Riesgos'!$P$39),"")</f>
        <v/>
      </c>
      <c r="AK20" s="48" t="str">
        <f>IF(AND('Mapa Riesgos'!$Z$40="Alta",'Mapa Riesgos'!$AB$40="Catastrófico"),CONCATENATE("R5C",'Mapa Riesgos'!$P$40),"")</f>
        <v/>
      </c>
      <c r="AL20" s="48" t="str">
        <f>IF(AND('Mapa Riesgos'!$Z$41="Alta",'Mapa Riesgos'!$AB$41="Catastrófico"),CONCATENATE("R5C",'Mapa Riesgos'!$P$41),"")</f>
        <v/>
      </c>
      <c r="AM20" s="49" t="str">
        <f>IF(AND('Mapa Riesgos'!$Z$42="Alta",'Mapa Riesgos'!$AB$42="Catastrófico"),CONCATENATE("R5C",'Mapa Riesgos'!$P$42),"")</f>
        <v/>
      </c>
      <c r="AN20" s="76"/>
      <c r="AO20" s="528"/>
      <c r="AP20" s="529"/>
      <c r="AQ20" s="529"/>
      <c r="AR20" s="529"/>
      <c r="AS20" s="529"/>
      <c r="AT20" s="530"/>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c r="A21" s="76"/>
      <c r="B21" s="477"/>
      <c r="C21" s="477"/>
      <c r="D21" s="478"/>
      <c r="E21" s="518"/>
      <c r="F21" s="519"/>
      <c r="G21" s="519"/>
      <c r="H21" s="519"/>
      <c r="I21" s="535"/>
      <c r="J21" s="60" t="str">
        <f ca="1">IF(AND('Mapa Riesgos'!$Z$43="Alta",'Mapa Riesgos'!$AB$43="Leve"),CONCATENATE("R6C",'Mapa Riesgos'!$P$43),"")</f>
        <v/>
      </c>
      <c r="K21" s="61" t="str">
        <f ca="1">IF(AND('Mapa Riesgos'!$Z$44="Alta",'Mapa Riesgos'!$AB$44="Leve"),CONCATENATE("R6C",'Mapa Riesgos'!$P$44),"")</f>
        <v/>
      </c>
      <c r="L21" s="61" t="str">
        <f ca="1">IF(AND('Mapa Riesgos'!$Z$45="Alta",'Mapa Riesgos'!$AB$45="Leve"),CONCATENATE("R6C",'Mapa Riesgos'!$P$45),"")</f>
        <v/>
      </c>
      <c r="M21" s="61" t="str">
        <f>IF(AND('Mapa Riesgos'!$Z$46="Alta",'Mapa Riesgos'!$AB$46="Leve"),CONCATENATE("R6C",'Mapa Riesgos'!$P$46),"")</f>
        <v/>
      </c>
      <c r="N21" s="61" t="str">
        <f>IF(AND('Mapa Riesgos'!$Z$47="Alta",'Mapa Riesgos'!$AB$47="Leve"),CONCATENATE("R6C",'Mapa Riesgos'!$P$47),"")</f>
        <v/>
      </c>
      <c r="O21" s="62" t="str">
        <f>IF(AND('Mapa Riesgos'!$Z$48="Alta",'Mapa Riesgos'!$AB$48="Leve"),CONCATENATE("R6C",'Mapa Riesgos'!$P$48),"")</f>
        <v/>
      </c>
      <c r="P21" s="60" t="str">
        <f ca="1">IF(AND('Mapa Riesgos'!$Z$43="Alta",'Mapa Riesgos'!$AB$43="Menor"),CONCATENATE("R6C",'Mapa Riesgos'!$P$43),"")</f>
        <v/>
      </c>
      <c r="Q21" s="61" t="str">
        <f ca="1">IF(AND('Mapa Riesgos'!$Z$44="Alta",'Mapa Riesgos'!$AB$44="Menor"),CONCATENATE("R6C",'Mapa Riesgos'!$P$44),"")</f>
        <v/>
      </c>
      <c r="R21" s="61" t="str">
        <f ca="1">IF(AND('Mapa Riesgos'!$Z$45="Alta",'Mapa Riesgos'!$AB$45="Menor"),CONCATENATE("R6C",'Mapa Riesgos'!$P$45),"")</f>
        <v/>
      </c>
      <c r="S21" s="61" t="str">
        <f>IF(AND('Mapa Riesgos'!$Z$46="Alta",'Mapa Riesgos'!$AB$46="Menor"),CONCATENATE("R6C",'Mapa Riesgos'!$P$46),"")</f>
        <v/>
      </c>
      <c r="T21" s="61" t="str">
        <f>IF(AND('Mapa Riesgos'!$Z$47="Alta",'Mapa Riesgos'!$AB$47="Menor"),CONCATENATE("R6C",'Mapa Riesgos'!$P$47),"")</f>
        <v/>
      </c>
      <c r="U21" s="62" t="str">
        <f>IF(AND('Mapa Riesgos'!$Z$48="Alta",'Mapa Riesgos'!$AB$48="Menor"),CONCATENATE("R6C",'Mapa Riesgos'!$P$48),"")</f>
        <v/>
      </c>
      <c r="V21" s="44" t="str">
        <f ca="1">IF(AND('Mapa Riesgos'!$Z$43="Alta",'Mapa Riesgos'!$AB$43="Moderado"),CONCATENATE("R6C",'Mapa Riesgos'!$P$43),"")</f>
        <v/>
      </c>
      <c r="W21" s="45" t="str">
        <f ca="1">IF(AND('Mapa Riesgos'!$Z$44="Alta",'Mapa Riesgos'!$AB$44="Moderado"),CONCATENATE("R6C",'Mapa Riesgos'!$P$44),"")</f>
        <v/>
      </c>
      <c r="X21" s="50" t="str">
        <f ca="1">IF(AND('Mapa Riesgos'!$Z$45="Alta",'Mapa Riesgos'!$AB$45="Moderado"),CONCATENATE("R6C",'Mapa Riesgos'!$P$45),"")</f>
        <v/>
      </c>
      <c r="Y21" s="50" t="str">
        <f>IF(AND('Mapa Riesgos'!$Z$46="Alta",'Mapa Riesgos'!$AB$46="Moderado"),CONCATENATE("R6C",'Mapa Riesgos'!$P$46),"")</f>
        <v/>
      </c>
      <c r="Z21" s="50" t="str">
        <f>IF(AND('Mapa Riesgos'!$Z$47="Alta",'Mapa Riesgos'!$AB$47="Moderado"),CONCATENATE("R6C",'Mapa Riesgos'!$P$47),"")</f>
        <v/>
      </c>
      <c r="AA21" s="46" t="str">
        <f>IF(AND('Mapa Riesgos'!$Z$48="Alta",'Mapa Riesgos'!$AB$48="Moderado"),CONCATENATE("R6C",'Mapa Riesgos'!$P$48),"")</f>
        <v/>
      </c>
      <c r="AB21" s="44" t="str">
        <f ca="1">IF(AND('Mapa Riesgos'!$Z$43="Alta",'Mapa Riesgos'!$AB$43="Mayor"),CONCATENATE("R6C",'Mapa Riesgos'!$P$43),"")</f>
        <v/>
      </c>
      <c r="AC21" s="45" t="str">
        <f ca="1">IF(AND('Mapa Riesgos'!$Z$44="Alta",'Mapa Riesgos'!$AB$44="Mayor"),CONCATENATE("R6C",'Mapa Riesgos'!$P$44),"")</f>
        <v/>
      </c>
      <c r="AD21" s="50" t="str">
        <f ca="1">IF(AND('Mapa Riesgos'!$Z$45="Alta",'Mapa Riesgos'!$AB$45="Mayor"),CONCATENATE("R6C",'Mapa Riesgos'!$P$45),"")</f>
        <v/>
      </c>
      <c r="AE21" s="50" t="str">
        <f>IF(AND('Mapa Riesgos'!$Z$46="Alta",'Mapa Riesgos'!$AB$46="Mayor"),CONCATENATE("R6C",'Mapa Riesgos'!$P$46),"")</f>
        <v/>
      </c>
      <c r="AF21" s="50" t="str">
        <f>IF(AND('Mapa Riesgos'!$Z$47="Alta",'Mapa Riesgos'!$AB$47="Mayor"),CONCATENATE("R6C",'Mapa Riesgos'!$P$47),"")</f>
        <v/>
      </c>
      <c r="AG21" s="46" t="str">
        <f>IF(AND('Mapa Riesgos'!$Z$48="Alta",'Mapa Riesgos'!$AB$48="Mayor"),CONCATENATE("R6C",'Mapa Riesgos'!$P$48),"")</f>
        <v/>
      </c>
      <c r="AH21" s="47" t="str">
        <f ca="1">IF(AND('Mapa Riesgos'!$Z$43="Alta",'Mapa Riesgos'!$AB$43="Catastrófico"),CONCATENATE("R6C",'Mapa Riesgos'!$P$43),"")</f>
        <v/>
      </c>
      <c r="AI21" s="48" t="str">
        <f ca="1">IF(AND('Mapa Riesgos'!$Z$44="Alta",'Mapa Riesgos'!$AB$44="Catastrófico"),CONCATENATE("R6C",'Mapa Riesgos'!$P$44),"")</f>
        <v/>
      </c>
      <c r="AJ21" s="48" t="str">
        <f ca="1">IF(AND('Mapa Riesgos'!$Z$45="Alta",'Mapa Riesgos'!$AB$45="Catastrófico"),CONCATENATE("R6C",'Mapa Riesgos'!$P$45),"")</f>
        <v/>
      </c>
      <c r="AK21" s="48" t="str">
        <f>IF(AND('Mapa Riesgos'!$Z$46="Alta",'Mapa Riesgos'!$AB$46="Catastrófico"),CONCATENATE("R6C",'Mapa Riesgos'!$P$46),"")</f>
        <v/>
      </c>
      <c r="AL21" s="48" t="str">
        <f>IF(AND('Mapa Riesgos'!$Z$47="Alta",'Mapa Riesgos'!$AB$47="Catastrófico"),CONCATENATE("R6C",'Mapa Riesgos'!$P$47),"")</f>
        <v/>
      </c>
      <c r="AM21" s="49" t="str">
        <f>IF(AND('Mapa Riesgos'!$Z$48="Alta",'Mapa Riesgos'!$AB$48="Catastrófico"),CONCATENATE("R6C",'Mapa Riesgos'!$P$48),"")</f>
        <v/>
      </c>
      <c r="AN21" s="76"/>
      <c r="AO21" s="528"/>
      <c r="AP21" s="529"/>
      <c r="AQ21" s="529"/>
      <c r="AR21" s="529"/>
      <c r="AS21" s="529"/>
      <c r="AT21" s="530"/>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c r="A22" s="76"/>
      <c r="B22" s="477"/>
      <c r="C22" s="477"/>
      <c r="D22" s="478"/>
      <c r="E22" s="518"/>
      <c r="F22" s="519"/>
      <c r="G22" s="519"/>
      <c r="H22" s="519"/>
      <c r="I22" s="535"/>
      <c r="J22" s="60" t="str">
        <f ca="1">IF(AND('Mapa Riesgos'!$Z$49="Alta",'Mapa Riesgos'!$AB$49="Leve"),CONCATENATE("R7C",'Mapa Riesgos'!$P$49),"")</f>
        <v/>
      </c>
      <c r="K22" s="61" t="str">
        <f>IF(AND('Mapa Riesgos'!$Z$50="Alta",'Mapa Riesgos'!$AB$50="Leve"),CONCATENATE("R7C",'Mapa Riesgos'!$P$50),"")</f>
        <v/>
      </c>
      <c r="L22" s="61" t="str">
        <f>IF(AND('Mapa Riesgos'!$Z$51="Alta",'Mapa Riesgos'!$AB$51="Leve"),CONCATENATE("R7C",'Mapa Riesgos'!$P$51),"")</f>
        <v/>
      </c>
      <c r="M22" s="61" t="str">
        <f>IF(AND('Mapa Riesgos'!$Z$52="Alta",'Mapa Riesgos'!$AB$52="Leve"),CONCATENATE("R7C",'Mapa Riesgos'!$P$52),"")</f>
        <v/>
      </c>
      <c r="N22" s="61" t="str">
        <f>IF(AND('Mapa Riesgos'!$Z$53="Alta",'Mapa Riesgos'!$AB$53="Leve"),CONCATENATE("R7C",'Mapa Riesgos'!$P$53),"")</f>
        <v/>
      </c>
      <c r="O22" s="62" t="str">
        <f>IF(AND('Mapa Riesgos'!$Z$54="Alta",'Mapa Riesgos'!$AB$54="Leve"),CONCATENATE("R7C",'Mapa Riesgos'!$P$54),"")</f>
        <v/>
      </c>
      <c r="P22" s="60" t="str">
        <f ca="1">IF(AND('Mapa Riesgos'!$Z$49="Alta",'Mapa Riesgos'!$AB$49="Menor"),CONCATENATE("R7C",'Mapa Riesgos'!$P$49),"")</f>
        <v/>
      </c>
      <c r="Q22" s="61" t="str">
        <f>IF(AND('Mapa Riesgos'!$Z$50="Alta",'Mapa Riesgos'!$AB$50="Menor"),CONCATENATE("R7C",'Mapa Riesgos'!$P$50),"")</f>
        <v/>
      </c>
      <c r="R22" s="61" t="str">
        <f>IF(AND('Mapa Riesgos'!$Z$51="Alta",'Mapa Riesgos'!$AB$51="Menor"),CONCATENATE("R7C",'Mapa Riesgos'!$P$51),"")</f>
        <v/>
      </c>
      <c r="S22" s="61" t="str">
        <f>IF(AND('Mapa Riesgos'!$Z$52="Alta",'Mapa Riesgos'!$AB$52="Menor"),CONCATENATE("R7C",'Mapa Riesgos'!$P$52),"")</f>
        <v/>
      </c>
      <c r="T22" s="61" t="str">
        <f>IF(AND('Mapa Riesgos'!$Z$53="Alta",'Mapa Riesgos'!$AB$53="Menor"),CONCATENATE("R7C",'Mapa Riesgos'!$P$53),"")</f>
        <v/>
      </c>
      <c r="U22" s="62" t="str">
        <f>IF(AND('Mapa Riesgos'!$Z$54="Alta",'Mapa Riesgos'!$AB$54="Menor"),CONCATENATE("R7C",'Mapa Riesgos'!$P$54),"")</f>
        <v/>
      </c>
      <c r="V22" s="44" t="str">
        <f ca="1">IF(AND('Mapa Riesgos'!$Z$49="Alta",'Mapa Riesgos'!$AB$49="Moderado"),CONCATENATE("R7C",'Mapa Riesgos'!$P$49),"")</f>
        <v/>
      </c>
      <c r="W22" s="45" t="str">
        <f>IF(AND('Mapa Riesgos'!$Z$50="Alta",'Mapa Riesgos'!$AB$50="Moderado"),CONCATENATE("R7C",'Mapa Riesgos'!$P$50),"")</f>
        <v/>
      </c>
      <c r="X22" s="50" t="str">
        <f>IF(AND('Mapa Riesgos'!$Z$51="Alta",'Mapa Riesgos'!$AB$51="Moderado"),CONCATENATE("R7C",'Mapa Riesgos'!$P$51),"")</f>
        <v/>
      </c>
      <c r="Y22" s="50" t="str">
        <f>IF(AND('Mapa Riesgos'!$Z$52="Alta",'Mapa Riesgos'!$AB$52="Moderado"),CONCATENATE("R7C",'Mapa Riesgos'!$P$52),"")</f>
        <v/>
      </c>
      <c r="Z22" s="50" t="str">
        <f>IF(AND('Mapa Riesgos'!$Z$53="Alta",'Mapa Riesgos'!$AB$53="Moderado"),CONCATENATE("R7C",'Mapa Riesgos'!$P$53),"")</f>
        <v/>
      </c>
      <c r="AA22" s="46" t="str">
        <f>IF(AND('Mapa Riesgos'!$Z$54="Alta",'Mapa Riesgos'!$AB$54="Moderado"),CONCATENATE("R7C",'Mapa Riesgos'!$P$54),"")</f>
        <v/>
      </c>
      <c r="AB22" s="44" t="str">
        <f ca="1">IF(AND('Mapa Riesgos'!$Z$49="Alta",'Mapa Riesgos'!$AB$49="Mayor"),CONCATENATE("R7C",'Mapa Riesgos'!$P$49),"")</f>
        <v/>
      </c>
      <c r="AC22" s="45" t="str">
        <f>IF(AND('Mapa Riesgos'!$Z$50="Alta",'Mapa Riesgos'!$AB$50="Mayor"),CONCATENATE("R7C",'Mapa Riesgos'!$P$50),"")</f>
        <v/>
      </c>
      <c r="AD22" s="50" t="str">
        <f>IF(AND('Mapa Riesgos'!$Z$51="Alta",'Mapa Riesgos'!$AB$51="Mayor"),CONCATENATE("R7C",'Mapa Riesgos'!$P$51),"")</f>
        <v/>
      </c>
      <c r="AE22" s="50" t="str">
        <f>IF(AND('Mapa Riesgos'!$Z$52="Alta",'Mapa Riesgos'!$AB$52="Mayor"),CONCATENATE("R7C",'Mapa Riesgos'!$P$52),"")</f>
        <v/>
      </c>
      <c r="AF22" s="50" t="str">
        <f>IF(AND('Mapa Riesgos'!$Z$53="Alta",'Mapa Riesgos'!$AB$53="Mayor"),CONCATENATE("R7C",'Mapa Riesgos'!$P$53),"")</f>
        <v/>
      </c>
      <c r="AG22" s="46" t="str">
        <f>IF(AND('Mapa Riesgos'!$Z$54="Alta",'Mapa Riesgos'!$AB$54="Mayor"),CONCATENATE("R7C",'Mapa Riesgos'!$P$54),"")</f>
        <v/>
      </c>
      <c r="AH22" s="47" t="str">
        <f ca="1">IF(AND('Mapa Riesgos'!$Z$49="Alta",'Mapa Riesgos'!$AB$49="Catastrófico"),CONCATENATE("R7C",'Mapa Riesgos'!$P$49),"")</f>
        <v/>
      </c>
      <c r="AI22" s="48" t="str">
        <f>IF(AND('Mapa Riesgos'!$Z$50="Alta",'Mapa Riesgos'!$AB$50="Catastrófico"),CONCATENATE("R7C",'Mapa Riesgos'!$P$50),"")</f>
        <v/>
      </c>
      <c r="AJ22" s="48" t="str">
        <f>IF(AND('Mapa Riesgos'!$Z$51="Alta",'Mapa Riesgos'!$AB$51="Catastrófico"),CONCATENATE("R7C",'Mapa Riesgos'!$P$51),"")</f>
        <v/>
      </c>
      <c r="AK22" s="48" t="str">
        <f>IF(AND('Mapa Riesgos'!$Z$52="Alta",'Mapa Riesgos'!$AB$52="Catastrófico"),CONCATENATE("R7C",'Mapa Riesgos'!$P$52),"")</f>
        <v/>
      </c>
      <c r="AL22" s="48" t="str">
        <f>IF(AND('Mapa Riesgos'!$Z$53="Alta",'Mapa Riesgos'!$AB$53="Catastrófico"),CONCATENATE("R7C",'Mapa Riesgos'!$P$53),"")</f>
        <v/>
      </c>
      <c r="AM22" s="49" t="str">
        <f>IF(AND('Mapa Riesgos'!$Z$54="Alta",'Mapa Riesgos'!$AB$54="Catastrófico"),CONCATENATE("R7C",'Mapa Riesgos'!$P$54),"")</f>
        <v/>
      </c>
      <c r="AN22" s="76"/>
      <c r="AO22" s="528"/>
      <c r="AP22" s="529"/>
      <c r="AQ22" s="529"/>
      <c r="AR22" s="529"/>
      <c r="AS22" s="529"/>
      <c r="AT22" s="530"/>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c r="A23" s="76"/>
      <c r="B23" s="477"/>
      <c r="C23" s="477"/>
      <c r="D23" s="478"/>
      <c r="E23" s="518"/>
      <c r="F23" s="519"/>
      <c r="G23" s="519"/>
      <c r="H23" s="519"/>
      <c r="I23" s="535"/>
      <c r="J23" s="60" t="str">
        <f ca="1">IF(AND('Mapa Riesgos'!$Z$55="Alta",'Mapa Riesgos'!$AB$55="Leve"),CONCATENATE("R8C",'Mapa Riesgos'!$P$55),"")</f>
        <v/>
      </c>
      <c r="K23" s="61" t="str">
        <f ca="1">IF(AND('Mapa Riesgos'!$Z$56="Alta",'Mapa Riesgos'!$AB$56="Leve"),CONCATENATE("R8C",'Mapa Riesgos'!$P$56),"")</f>
        <v/>
      </c>
      <c r="L23" s="61" t="str">
        <f>IF(AND('Mapa Riesgos'!$Z$57="Alta",'Mapa Riesgos'!$AB$57="Leve"),CONCATENATE("R8C",'Mapa Riesgos'!$P$57),"")</f>
        <v/>
      </c>
      <c r="M23" s="61" t="str">
        <f>IF(AND('Mapa Riesgos'!$Z$58="Alta",'Mapa Riesgos'!$AB$58="Leve"),CONCATENATE("R8C",'Mapa Riesgos'!$P$58),"")</f>
        <v/>
      </c>
      <c r="N23" s="61" t="str">
        <f>IF(AND('Mapa Riesgos'!$Z$59="Alta",'Mapa Riesgos'!$AB$59="Leve"),CONCATENATE("R8C",'Mapa Riesgos'!$P$59),"")</f>
        <v/>
      </c>
      <c r="O23" s="62" t="str">
        <f>IF(AND('Mapa Riesgos'!$Z$60="Alta",'Mapa Riesgos'!$AB$60="Leve"),CONCATENATE("R8C",'Mapa Riesgos'!$P$60),"")</f>
        <v/>
      </c>
      <c r="P23" s="60" t="str">
        <f ca="1">IF(AND('Mapa Riesgos'!$Z$55="Alta",'Mapa Riesgos'!$AB$55="Menor"),CONCATENATE("R8C",'Mapa Riesgos'!$P$55),"")</f>
        <v/>
      </c>
      <c r="Q23" s="61" t="str">
        <f ca="1">IF(AND('Mapa Riesgos'!$Z$56="Alta",'Mapa Riesgos'!$AB$56="Menor"),CONCATENATE("R8C",'Mapa Riesgos'!$P$56),"")</f>
        <v/>
      </c>
      <c r="R23" s="61" t="str">
        <f>IF(AND('Mapa Riesgos'!$Z$57="Alta",'Mapa Riesgos'!$AB$57="Menor"),CONCATENATE("R8C",'Mapa Riesgos'!$P$57),"")</f>
        <v/>
      </c>
      <c r="S23" s="61" t="str">
        <f>IF(AND('Mapa Riesgos'!$Z$58="Alta",'Mapa Riesgos'!$AB$58="Menor"),CONCATENATE("R8C",'Mapa Riesgos'!$P$58),"")</f>
        <v/>
      </c>
      <c r="T23" s="61" t="str">
        <f>IF(AND('Mapa Riesgos'!$Z$59="Alta",'Mapa Riesgos'!$AB$59="Menor"),CONCATENATE("R8C",'Mapa Riesgos'!$P$59),"")</f>
        <v/>
      </c>
      <c r="U23" s="62" t="str">
        <f>IF(AND('Mapa Riesgos'!$Z$60="Alta",'Mapa Riesgos'!$AB$60="Menor"),CONCATENATE("R8C",'Mapa Riesgos'!$P$60),"")</f>
        <v/>
      </c>
      <c r="V23" s="44" t="str">
        <f ca="1">IF(AND('Mapa Riesgos'!$Z$55="Alta",'Mapa Riesgos'!$AB$55="Moderado"),CONCATENATE("R8C",'Mapa Riesgos'!$P$55),"")</f>
        <v/>
      </c>
      <c r="W23" s="45" t="str">
        <f ca="1">IF(AND('Mapa Riesgos'!$Z$56="Alta",'Mapa Riesgos'!$AB$56="Moderado"),CONCATENATE("R8C",'Mapa Riesgos'!$P$56),"")</f>
        <v/>
      </c>
      <c r="X23" s="50" t="str">
        <f>IF(AND('Mapa Riesgos'!$Z$57="Alta",'Mapa Riesgos'!$AB$57="Moderado"),CONCATENATE("R8C",'Mapa Riesgos'!$P$57),"")</f>
        <v/>
      </c>
      <c r="Y23" s="50" t="str">
        <f>IF(AND('Mapa Riesgos'!$Z$58="Alta",'Mapa Riesgos'!$AB$58="Moderado"),CONCATENATE("R8C",'Mapa Riesgos'!$P$58),"")</f>
        <v/>
      </c>
      <c r="Z23" s="50" t="str">
        <f>IF(AND('Mapa Riesgos'!$Z$59="Alta",'Mapa Riesgos'!$AB$59="Moderado"),CONCATENATE("R8C",'Mapa Riesgos'!$P$59),"")</f>
        <v/>
      </c>
      <c r="AA23" s="46" t="str">
        <f>IF(AND('Mapa Riesgos'!$Z$60="Alta",'Mapa Riesgos'!$AB$60="Moderado"),CONCATENATE("R8C",'Mapa Riesgos'!$P$60),"")</f>
        <v/>
      </c>
      <c r="AB23" s="44" t="str">
        <f ca="1">IF(AND('Mapa Riesgos'!$Z$55="Alta",'Mapa Riesgos'!$AB$55="Mayor"),CONCATENATE("R8C",'Mapa Riesgos'!$P$55),"")</f>
        <v/>
      </c>
      <c r="AC23" s="45" t="str">
        <f ca="1">IF(AND('Mapa Riesgos'!$Z$56="Alta",'Mapa Riesgos'!$AB$56="Mayor"),CONCATENATE("R8C",'Mapa Riesgos'!$P$56),"")</f>
        <v/>
      </c>
      <c r="AD23" s="50" t="str">
        <f>IF(AND('Mapa Riesgos'!$Z$57="Alta",'Mapa Riesgos'!$AB$57="Mayor"),CONCATENATE("R8C",'Mapa Riesgos'!$P$57),"")</f>
        <v/>
      </c>
      <c r="AE23" s="50" t="str">
        <f>IF(AND('Mapa Riesgos'!$Z$58="Alta",'Mapa Riesgos'!$AB$58="Mayor"),CONCATENATE("R8C",'Mapa Riesgos'!$P$58),"")</f>
        <v/>
      </c>
      <c r="AF23" s="50" t="str">
        <f>IF(AND('Mapa Riesgos'!$Z$59="Alta",'Mapa Riesgos'!$AB$59="Mayor"),CONCATENATE("R8C",'Mapa Riesgos'!$P$59),"")</f>
        <v/>
      </c>
      <c r="AG23" s="46" t="str">
        <f>IF(AND('Mapa Riesgos'!$Z$60="Alta",'Mapa Riesgos'!$AB$60="Mayor"),CONCATENATE("R8C",'Mapa Riesgos'!$P$60),"")</f>
        <v/>
      </c>
      <c r="AH23" s="47" t="str">
        <f ca="1">IF(AND('Mapa Riesgos'!$Z$55="Alta",'Mapa Riesgos'!$AB$55="Catastrófico"),CONCATENATE("R8C",'Mapa Riesgos'!$P$55),"")</f>
        <v/>
      </c>
      <c r="AI23" s="48" t="str">
        <f ca="1">IF(AND('Mapa Riesgos'!$Z$56="Alta",'Mapa Riesgos'!$AB$56="Catastrófico"),CONCATENATE("R8C",'Mapa Riesgos'!$P$56),"")</f>
        <v/>
      </c>
      <c r="AJ23" s="48" t="str">
        <f>IF(AND('Mapa Riesgos'!$Z$57="Alta",'Mapa Riesgos'!$AB$57="Catastrófico"),CONCATENATE("R8C",'Mapa Riesgos'!$P$57),"")</f>
        <v/>
      </c>
      <c r="AK23" s="48" t="str">
        <f>IF(AND('Mapa Riesgos'!$Z$58="Alta",'Mapa Riesgos'!$AB$58="Catastrófico"),CONCATENATE("R8C",'Mapa Riesgos'!$P$58),"")</f>
        <v/>
      </c>
      <c r="AL23" s="48" t="str">
        <f>IF(AND('Mapa Riesgos'!$Z$59="Alta",'Mapa Riesgos'!$AB$59="Catastrófico"),CONCATENATE("R8C",'Mapa Riesgos'!$P$59),"")</f>
        <v/>
      </c>
      <c r="AM23" s="49" t="str">
        <f>IF(AND('Mapa Riesgos'!$Z$60="Alta",'Mapa Riesgos'!$AB$60="Catastrófico"),CONCATENATE("R8C",'Mapa Riesgos'!$P$60),"")</f>
        <v/>
      </c>
      <c r="AN23" s="76"/>
      <c r="AO23" s="528"/>
      <c r="AP23" s="529"/>
      <c r="AQ23" s="529"/>
      <c r="AR23" s="529"/>
      <c r="AS23" s="529"/>
      <c r="AT23" s="530"/>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c r="A24" s="76"/>
      <c r="B24" s="477"/>
      <c r="C24" s="477"/>
      <c r="D24" s="478"/>
      <c r="E24" s="518"/>
      <c r="F24" s="519"/>
      <c r="G24" s="519"/>
      <c r="H24" s="519"/>
      <c r="I24" s="535"/>
      <c r="J24" s="60" t="str">
        <f ca="1">IF(AND('Mapa Riesgos'!$Z$61="Alta",'Mapa Riesgos'!$AB$61="Leve"),CONCATENATE("R9C",'Mapa Riesgos'!$P$61),"")</f>
        <v/>
      </c>
      <c r="K24" s="61" t="str">
        <f ca="1">IF(AND('Mapa Riesgos'!$Z$62="Alta",'Mapa Riesgos'!$AB$62="Leve"),CONCATENATE("R9C",'Mapa Riesgos'!$P$62),"")</f>
        <v/>
      </c>
      <c r="L24" s="61" t="str">
        <f>IF(AND('Mapa Riesgos'!$Z$63="Alta",'Mapa Riesgos'!$AB$63="Leve"),CONCATENATE("R9C",'Mapa Riesgos'!$P$63),"")</f>
        <v/>
      </c>
      <c r="M24" s="61" t="str">
        <f>IF(AND('Mapa Riesgos'!$Z$64="Alta",'Mapa Riesgos'!$AB$64="Leve"),CONCATENATE("R9C",'Mapa Riesgos'!$P$64),"")</f>
        <v/>
      </c>
      <c r="N24" s="61" t="str">
        <f>IF(AND('Mapa Riesgos'!$Z$65="Alta",'Mapa Riesgos'!$AB$65="Leve"),CONCATENATE("R9C",'Mapa Riesgos'!$P$65),"")</f>
        <v/>
      </c>
      <c r="O24" s="62" t="str">
        <f>IF(AND('Mapa Riesgos'!$Z$66="Alta",'Mapa Riesgos'!$AB$66="Leve"),CONCATENATE("R9C",'Mapa Riesgos'!$P$66),"")</f>
        <v/>
      </c>
      <c r="P24" s="60" t="str">
        <f ca="1">IF(AND('Mapa Riesgos'!$Z$61="Alta",'Mapa Riesgos'!$AB$61="Menor"),CONCATENATE("R9C",'Mapa Riesgos'!$P$61),"")</f>
        <v/>
      </c>
      <c r="Q24" s="61" t="str">
        <f ca="1">IF(AND('Mapa Riesgos'!$Z$62="Alta",'Mapa Riesgos'!$AB$62="Menor"),CONCATENATE("R9C",'Mapa Riesgos'!$P$62),"")</f>
        <v/>
      </c>
      <c r="R24" s="61" t="str">
        <f>IF(AND('Mapa Riesgos'!$Z$63="Alta",'Mapa Riesgos'!$AB$63="Menor"),CONCATENATE("R9C",'Mapa Riesgos'!$P$63),"")</f>
        <v/>
      </c>
      <c r="S24" s="61" t="str">
        <f>IF(AND('Mapa Riesgos'!$Z$64="Alta",'Mapa Riesgos'!$AB$64="Menor"),CONCATENATE("R9C",'Mapa Riesgos'!$P$64),"")</f>
        <v/>
      </c>
      <c r="T24" s="61" t="str">
        <f>IF(AND('Mapa Riesgos'!$Z$65="Alta",'Mapa Riesgos'!$AB$65="Menor"),CONCATENATE("R9C",'Mapa Riesgos'!$P$65),"")</f>
        <v/>
      </c>
      <c r="U24" s="62" t="str">
        <f>IF(AND('Mapa Riesgos'!$Z$66="Alta",'Mapa Riesgos'!$AB$66="Menor"),CONCATENATE("R9C",'Mapa Riesgos'!$P$66),"")</f>
        <v/>
      </c>
      <c r="V24" s="44" t="str">
        <f ca="1">IF(AND('Mapa Riesgos'!$Z$61="Alta",'Mapa Riesgos'!$AB$61="Moderado"),CONCATENATE("R9C",'Mapa Riesgos'!$P$61),"")</f>
        <v/>
      </c>
      <c r="W24" s="45" t="str">
        <f ca="1">IF(AND('Mapa Riesgos'!$Z$62="Alta",'Mapa Riesgos'!$AB$62="Moderado"),CONCATENATE("R9C",'Mapa Riesgos'!$P$62),"")</f>
        <v/>
      </c>
      <c r="X24" s="50" t="str">
        <f>IF(AND('Mapa Riesgos'!$Z$63="Alta",'Mapa Riesgos'!$AB$63="Moderado"),CONCATENATE("R9C",'Mapa Riesgos'!$P$63),"")</f>
        <v/>
      </c>
      <c r="Y24" s="50" t="str">
        <f>IF(AND('Mapa Riesgos'!$Z$64="Alta",'Mapa Riesgos'!$AB$64="Moderado"),CONCATENATE("R9C",'Mapa Riesgos'!$P$64),"")</f>
        <v/>
      </c>
      <c r="Z24" s="50" t="str">
        <f>IF(AND('Mapa Riesgos'!$Z$65="Alta",'Mapa Riesgos'!$AB$65="Moderado"),CONCATENATE("R9C",'Mapa Riesgos'!$P$65),"")</f>
        <v/>
      </c>
      <c r="AA24" s="46" t="str">
        <f>IF(AND('Mapa Riesgos'!$Z$66="Alta",'Mapa Riesgos'!$AB$66="Moderado"),CONCATENATE("R9C",'Mapa Riesgos'!$P$66),"")</f>
        <v/>
      </c>
      <c r="AB24" s="44" t="str">
        <f ca="1">IF(AND('Mapa Riesgos'!$Z$61="Alta",'Mapa Riesgos'!$AB$61="Mayor"),CONCATENATE("R9C",'Mapa Riesgos'!$P$61),"")</f>
        <v/>
      </c>
      <c r="AC24" s="45" t="str">
        <f ca="1">IF(AND('Mapa Riesgos'!$Z$62="Alta",'Mapa Riesgos'!$AB$62="Mayor"),CONCATENATE("R9C",'Mapa Riesgos'!$P$62),"")</f>
        <v/>
      </c>
      <c r="AD24" s="50" t="str">
        <f>IF(AND('Mapa Riesgos'!$Z$63="Alta",'Mapa Riesgos'!$AB$63="Mayor"),CONCATENATE("R9C",'Mapa Riesgos'!$P$63),"")</f>
        <v/>
      </c>
      <c r="AE24" s="50" t="str">
        <f>IF(AND('Mapa Riesgos'!$Z$64="Alta",'Mapa Riesgos'!$AB$64="Mayor"),CONCATENATE("R9C",'Mapa Riesgos'!$P$64),"")</f>
        <v/>
      </c>
      <c r="AF24" s="50" t="str">
        <f>IF(AND('Mapa Riesgos'!$Z$65="Alta",'Mapa Riesgos'!$AB$65="Mayor"),CONCATENATE("R9C",'Mapa Riesgos'!$P$65),"")</f>
        <v/>
      </c>
      <c r="AG24" s="46" t="str">
        <f>IF(AND('Mapa Riesgos'!$Z$66="Alta",'Mapa Riesgos'!$AB$66="Mayor"),CONCATENATE("R9C",'Mapa Riesgos'!$P$66),"")</f>
        <v/>
      </c>
      <c r="AH24" s="47" t="str">
        <f ca="1">IF(AND('Mapa Riesgos'!$Z$61="Alta",'Mapa Riesgos'!$AB$61="Catastrófico"),CONCATENATE("R9C",'Mapa Riesgos'!$P$61),"")</f>
        <v/>
      </c>
      <c r="AI24" s="48" t="str">
        <f ca="1">IF(AND('Mapa Riesgos'!$Z$62="Alta",'Mapa Riesgos'!$AB$62="Catastrófico"),CONCATENATE("R9C",'Mapa Riesgos'!$P$62),"")</f>
        <v/>
      </c>
      <c r="AJ24" s="48" t="str">
        <f>IF(AND('Mapa Riesgos'!$Z$63="Alta",'Mapa Riesgos'!$AB$63="Catastrófico"),CONCATENATE("R9C",'Mapa Riesgos'!$P$63),"")</f>
        <v/>
      </c>
      <c r="AK24" s="48" t="str">
        <f>IF(AND('Mapa Riesgos'!$Z$64="Alta",'Mapa Riesgos'!$AB$64="Catastrófico"),CONCATENATE("R9C",'Mapa Riesgos'!$P$64),"")</f>
        <v/>
      </c>
      <c r="AL24" s="48" t="str">
        <f>IF(AND('Mapa Riesgos'!$Z$65="Alta",'Mapa Riesgos'!$AB$65="Catastrófico"),CONCATENATE("R9C",'Mapa Riesgos'!$P$65),"")</f>
        <v/>
      </c>
      <c r="AM24" s="49" t="str">
        <f>IF(AND('Mapa Riesgos'!$Z$66="Alta",'Mapa Riesgos'!$AB$66="Catastrófico"),CONCATENATE("R9C",'Mapa Riesgos'!$P$66),"")</f>
        <v/>
      </c>
      <c r="AN24" s="76"/>
      <c r="AO24" s="528"/>
      <c r="AP24" s="529"/>
      <c r="AQ24" s="529"/>
      <c r="AR24" s="529"/>
      <c r="AS24" s="529"/>
      <c r="AT24" s="530"/>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c r="A25" s="76"/>
      <c r="B25" s="477"/>
      <c r="C25" s="477"/>
      <c r="D25" s="478"/>
      <c r="E25" s="521"/>
      <c r="F25" s="522"/>
      <c r="G25" s="522"/>
      <c r="H25" s="522"/>
      <c r="I25" s="522"/>
      <c r="J25" s="63" t="str">
        <f>IF(AND('Mapa Riesgos'!$Z$67="Alta",'Mapa Riesgos'!$AB$67="Leve"),CONCATENATE("R10C",'Mapa Riesgos'!$P$67),"")</f>
        <v/>
      </c>
      <c r="K25" s="64" t="str">
        <f>IF(AND('Mapa Riesgos'!$Z$68="Alta",'Mapa Riesgos'!$AB$68="Leve"),CONCATENATE("R10C",'Mapa Riesgos'!$P$68),"")</f>
        <v/>
      </c>
      <c r="L25" s="64" t="str">
        <f>IF(AND('Mapa Riesgos'!$Z$69="Alta",'Mapa Riesgos'!$AB$69="Leve"),CONCATENATE("R10C",'Mapa Riesgos'!$P$69),"")</f>
        <v/>
      </c>
      <c r="M25" s="64" t="str">
        <f>IF(AND('Mapa Riesgos'!$Z$70="Alta",'Mapa Riesgos'!$AB$70="Leve"),CONCATENATE("R10C",'Mapa Riesgos'!$P$70),"")</f>
        <v/>
      </c>
      <c r="N25" s="64" t="str">
        <f>IF(AND('Mapa Riesgos'!$Z$71="Alta",'Mapa Riesgos'!$AB$71="Leve"),CONCATENATE("R10C",'Mapa Riesgos'!$P$71),"")</f>
        <v/>
      </c>
      <c r="O25" s="65" t="str">
        <f>IF(AND('Mapa Riesgos'!$Z$72="Alta",'Mapa Riesgos'!$AB$72="Leve"),CONCATENATE("R10C",'Mapa Riesgos'!$P$72),"")</f>
        <v/>
      </c>
      <c r="P25" s="63" t="str">
        <f>IF(AND('Mapa Riesgos'!$Z$67="Alta",'Mapa Riesgos'!$AB$67="Menor"),CONCATENATE("R10C",'Mapa Riesgos'!$P$67),"")</f>
        <v/>
      </c>
      <c r="Q25" s="64" t="str">
        <f>IF(AND('Mapa Riesgos'!$Z$68="Alta",'Mapa Riesgos'!$AB$68="Menor"),CONCATENATE("R10C",'Mapa Riesgos'!$P$68),"")</f>
        <v/>
      </c>
      <c r="R25" s="64" t="str">
        <f>IF(AND('Mapa Riesgos'!$Z$69="Alta",'Mapa Riesgos'!$AB$69="Menor"),CONCATENATE("R10C",'Mapa Riesgos'!$P$69),"")</f>
        <v/>
      </c>
      <c r="S25" s="64" t="str">
        <f>IF(AND('Mapa Riesgos'!$Z$70="Alta",'Mapa Riesgos'!$AB$70="Menor"),CONCATENATE("R10C",'Mapa Riesgos'!$P$70),"")</f>
        <v/>
      </c>
      <c r="T25" s="64" t="str">
        <f>IF(AND('Mapa Riesgos'!$Z$71="Alta",'Mapa Riesgos'!$AB$71="Menor"),CONCATENATE("R10C",'Mapa Riesgos'!$P$71),"")</f>
        <v/>
      </c>
      <c r="U25" s="65" t="str">
        <f>IF(AND('Mapa Riesgos'!$Z$72="Alta",'Mapa Riesgos'!$AB$72="Menor"),CONCATENATE("R10C",'Mapa Riesgos'!$P$72),"")</f>
        <v/>
      </c>
      <c r="V25" s="51" t="str">
        <f>IF(AND('Mapa Riesgos'!$Z$67="Alta",'Mapa Riesgos'!$AB$67="Moderado"),CONCATENATE("R10C",'Mapa Riesgos'!$P$67),"")</f>
        <v/>
      </c>
      <c r="W25" s="52" t="str">
        <f>IF(AND('Mapa Riesgos'!$Z$68="Alta",'Mapa Riesgos'!$AB$68="Moderado"),CONCATENATE("R10C",'Mapa Riesgos'!$P$68),"")</f>
        <v/>
      </c>
      <c r="X25" s="52" t="str">
        <f>IF(AND('Mapa Riesgos'!$Z$69="Alta",'Mapa Riesgos'!$AB$69="Moderado"),CONCATENATE("R10C",'Mapa Riesgos'!$P$69),"")</f>
        <v/>
      </c>
      <c r="Y25" s="52" t="str">
        <f>IF(AND('Mapa Riesgos'!$Z$70="Alta",'Mapa Riesgos'!$AB$70="Moderado"),CONCATENATE("R10C",'Mapa Riesgos'!$P$70),"")</f>
        <v/>
      </c>
      <c r="Z25" s="52" t="str">
        <f>IF(AND('Mapa Riesgos'!$Z$71="Alta",'Mapa Riesgos'!$AB$71="Moderado"),CONCATENATE("R10C",'Mapa Riesgos'!$P$71),"")</f>
        <v/>
      </c>
      <c r="AA25" s="53" t="str">
        <f>IF(AND('Mapa Riesgos'!$Z$72="Alta",'Mapa Riesgos'!$AB$72="Moderado"),CONCATENATE("R10C",'Mapa Riesgos'!$P$72),"")</f>
        <v/>
      </c>
      <c r="AB25" s="51" t="str">
        <f>IF(AND('Mapa Riesgos'!$Z$67="Alta",'Mapa Riesgos'!$AB$67="Mayor"),CONCATENATE("R10C",'Mapa Riesgos'!$P$67),"")</f>
        <v/>
      </c>
      <c r="AC25" s="52" t="str">
        <f>IF(AND('Mapa Riesgos'!$Z$68="Alta",'Mapa Riesgos'!$AB$68="Mayor"),CONCATENATE("R10C",'Mapa Riesgos'!$P$68),"")</f>
        <v/>
      </c>
      <c r="AD25" s="52" t="str">
        <f>IF(AND('Mapa Riesgos'!$Z$69="Alta",'Mapa Riesgos'!$AB$69="Mayor"),CONCATENATE("R10C",'Mapa Riesgos'!$P$69),"")</f>
        <v/>
      </c>
      <c r="AE25" s="52" t="str">
        <f>IF(AND('Mapa Riesgos'!$Z$70="Alta",'Mapa Riesgos'!$AB$70="Mayor"),CONCATENATE("R10C",'Mapa Riesgos'!$P$70),"")</f>
        <v/>
      </c>
      <c r="AF25" s="52" t="str">
        <f>IF(AND('Mapa Riesgos'!$Z$71="Alta",'Mapa Riesgos'!$AB$71="Mayor"),CONCATENATE("R10C",'Mapa Riesgos'!$P$71),"")</f>
        <v/>
      </c>
      <c r="AG25" s="53" t="str">
        <f>IF(AND('Mapa Riesgos'!$Z$72="Alta",'Mapa Riesgos'!$AB$72="Mayor"),CONCATENATE("R10C",'Mapa Riesgos'!$P$72),"")</f>
        <v/>
      </c>
      <c r="AH25" s="54" t="str">
        <f>IF(AND('Mapa Riesgos'!$Z$67="Alta",'Mapa Riesgos'!$AB$67="Catastrófico"),CONCATENATE("R10C",'Mapa Riesgos'!$P$67),"")</f>
        <v/>
      </c>
      <c r="AI25" s="55" t="str">
        <f>IF(AND('Mapa Riesgos'!$Z$68="Alta",'Mapa Riesgos'!$AB$68="Catastrófico"),CONCATENATE("R10C",'Mapa Riesgos'!$P$68),"")</f>
        <v/>
      </c>
      <c r="AJ25" s="55" t="str">
        <f>IF(AND('Mapa Riesgos'!$Z$69="Alta",'Mapa Riesgos'!$AB$69="Catastrófico"),CONCATENATE("R10C",'Mapa Riesgos'!$P$69),"")</f>
        <v/>
      </c>
      <c r="AK25" s="55" t="str">
        <f>IF(AND('Mapa Riesgos'!$Z$70="Alta",'Mapa Riesgos'!$AB$70="Catastrófico"),CONCATENATE("R10C",'Mapa Riesgos'!$P$70),"")</f>
        <v/>
      </c>
      <c r="AL25" s="55" t="str">
        <f>IF(AND('Mapa Riesgos'!$Z$71="Alta",'Mapa Riesgos'!$AB$71="Catastrófico"),CONCATENATE("R10C",'Mapa Riesgos'!$P$71),"")</f>
        <v/>
      </c>
      <c r="AM25" s="56" t="str">
        <f>IF(AND('Mapa Riesgos'!$Z$72="Alta",'Mapa Riesgos'!$AB$72="Catastrófico"),CONCATENATE("R10C",'Mapa Riesgos'!$P$72),"")</f>
        <v/>
      </c>
      <c r="AN25" s="76"/>
      <c r="AO25" s="531"/>
      <c r="AP25" s="532"/>
      <c r="AQ25" s="532"/>
      <c r="AR25" s="532"/>
      <c r="AS25" s="532"/>
      <c r="AT25" s="533"/>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c r="A26" s="76"/>
      <c r="B26" s="477"/>
      <c r="C26" s="477"/>
      <c r="D26" s="478"/>
      <c r="E26" s="515" t="s">
        <v>109</v>
      </c>
      <c r="F26" s="516"/>
      <c r="G26" s="516"/>
      <c r="H26" s="516"/>
      <c r="I26" s="517"/>
      <c r="J26" s="57" t="str">
        <f ca="1">IF(AND('Mapa Riesgos'!$Z$13="Media",'Mapa Riesgos'!$AB$13="Leve"),CONCATENATE("R1C",'Mapa Riesgos'!$P$13),"")</f>
        <v/>
      </c>
      <c r="K26" s="58" t="str">
        <f>IF(AND('Mapa Riesgos'!$Z$14="Media",'Mapa Riesgos'!$AB$14="Leve"),CONCATENATE("R1C",'Mapa Riesgos'!$P$14),"")</f>
        <v/>
      </c>
      <c r="L26" s="58" t="str">
        <f>IF(AND('Mapa Riesgos'!$Z$15="Media",'Mapa Riesgos'!$AB$15="Leve"),CONCATENATE("R1C",'Mapa Riesgos'!$P$15),"")</f>
        <v/>
      </c>
      <c r="M26" s="58" t="str">
        <f>IF(AND('Mapa Riesgos'!$Z$16="Media",'Mapa Riesgos'!$AB$16="Leve"),CONCATENATE("R1C",'Mapa Riesgos'!$P$16),"")</f>
        <v/>
      </c>
      <c r="N26" s="58" t="str">
        <f>IF(AND('Mapa Riesgos'!$Z$17="Media",'Mapa Riesgos'!$AB$17="Leve"),CONCATENATE("R1C",'Mapa Riesgos'!$P$17),"")</f>
        <v/>
      </c>
      <c r="O26" s="59" t="str">
        <f>IF(AND('Mapa Riesgos'!$Z$18="Media",'Mapa Riesgos'!$AB$18="Leve"),CONCATENATE("R1C",'Mapa Riesgos'!$P$18),"")</f>
        <v/>
      </c>
      <c r="P26" s="57" t="str">
        <f ca="1">IF(AND('Mapa Riesgos'!$Z$13="Media",'Mapa Riesgos'!$AB$13="Menor"),CONCATENATE("R1C",'Mapa Riesgos'!$P$13),"")</f>
        <v/>
      </c>
      <c r="Q26" s="58" t="str">
        <f>IF(AND('Mapa Riesgos'!$Z$14="Media",'Mapa Riesgos'!$AB$14="Menor"),CONCATENATE("R1C",'Mapa Riesgos'!$P$14),"")</f>
        <v/>
      </c>
      <c r="R26" s="58" t="str">
        <f>IF(AND('Mapa Riesgos'!$Z$15="Media",'Mapa Riesgos'!$AB$15="Menor"),CONCATENATE("R1C",'Mapa Riesgos'!$P$15),"")</f>
        <v/>
      </c>
      <c r="S26" s="58" t="str">
        <f>IF(AND('Mapa Riesgos'!$Z$16="Media",'Mapa Riesgos'!$AB$16="Menor"),CONCATENATE("R1C",'Mapa Riesgos'!$P$16),"")</f>
        <v/>
      </c>
      <c r="T26" s="58" t="str">
        <f>IF(AND('Mapa Riesgos'!$Z$17="Media",'Mapa Riesgos'!$AB$17="Menor"),CONCATENATE("R1C",'Mapa Riesgos'!$P$17),"")</f>
        <v/>
      </c>
      <c r="U26" s="59" t="str">
        <f>IF(AND('Mapa Riesgos'!$Z$18="Media",'Mapa Riesgos'!$AB$18="Menor"),CONCATENATE("R1C",'Mapa Riesgos'!$P$18),"")</f>
        <v/>
      </c>
      <c r="V26" s="57" t="str">
        <f ca="1">IF(AND('Mapa Riesgos'!$Z$13="Media",'Mapa Riesgos'!$AB$13="Moderado"),CONCATENATE("R1C",'Mapa Riesgos'!$P$13),"")</f>
        <v/>
      </c>
      <c r="W26" s="58" t="str">
        <f>IF(AND('Mapa Riesgos'!$Z$14="Media",'Mapa Riesgos'!$AB$14="Moderado"),CONCATENATE("R1C",'Mapa Riesgos'!$P$14),"")</f>
        <v/>
      </c>
      <c r="X26" s="58" t="str">
        <f>IF(AND('Mapa Riesgos'!$Z$15="Media",'Mapa Riesgos'!$AB$15="Moderado"),CONCATENATE("R1C",'Mapa Riesgos'!$P$15),"")</f>
        <v/>
      </c>
      <c r="Y26" s="58" t="str">
        <f>IF(AND('Mapa Riesgos'!$Z$16="Media",'Mapa Riesgos'!$AB$16="Moderado"),CONCATENATE("R1C",'Mapa Riesgos'!$P$16),"")</f>
        <v/>
      </c>
      <c r="Z26" s="58" t="str">
        <f>IF(AND('Mapa Riesgos'!$Z$17="Media",'Mapa Riesgos'!$AB$17="Moderado"),CONCATENATE("R1C",'Mapa Riesgos'!$P$17),"")</f>
        <v/>
      </c>
      <c r="AA26" s="59" t="str">
        <f>IF(AND('Mapa Riesgos'!$Z$18="Media",'Mapa Riesgos'!$AB$18="Moderado"),CONCATENATE("R1C",'Mapa Riesgos'!$P$18),"")</f>
        <v/>
      </c>
      <c r="AB26" s="38" t="str">
        <f ca="1">IF(AND('Mapa Riesgos'!$Z$13="Media",'Mapa Riesgos'!$AB$13="Mayor"),CONCATENATE("R1C",'Mapa Riesgos'!$P$13),"")</f>
        <v/>
      </c>
      <c r="AC26" s="39" t="str">
        <f>IF(AND('Mapa Riesgos'!$Z$14="Media",'Mapa Riesgos'!$AB$14="Mayor"),CONCATENATE("R1C",'Mapa Riesgos'!$P$14),"")</f>
        <v/>
      </c>
      <c r="AD26" s="39" t="str">
        <f>IF(AND('Mapa Riesgos'!$Z$15="Media",'Mapa Riesgos'!$AB$15="Mayor"),CONCATENATE("R1C",'Mapa Riesgos'!$P$15),"")</f>
        <v/>
      </c>
      <c r="AE26" s="39" t="str">
        <f>IF(AND('Mapa Riesgos'!$Z$16="Media",'Mapa Riesgos'!$AB$16="Mayor"),CONCATENATE("R1C",'Mapa Riesgos'!$P$16),"")</f>
        <v/>
      </c>
      <c r="AF26" s="39" t="str">
        <f>IF(AND('Mapa Riesgos'!$Z$17="Media",'Mapa Riesgos'!$AB$17="Mayor"),CONCATENATE("R1C",'Mapa Riesgos'!$P$17),"")</f>
        <v/>
      </c>
      <c r="AG26" s="40" t="str">
        <f>IF(AND('Mapa Riesgos'!$Z$18="Media",'Mapa Riesgos'!$AB$18="Mayor"),CONCATENATE("R1C",'Mapa Riesgos'!$P$18),"")</f>
        <v/>
      </c>
      <c r="AH26" s="41" t="str">
        <f ca="1">IF(AND('Mapa Riesgos'!$Z$13="Media",'Mapa Riesgos'!$AB$13="Catastrófico"),CONCATENATE("R1C",'Mapa Riesgos'!$P$13),"")</f>
        <v/>
      </c>
      <c r="AI26" s="42" t="str">
        <f>IF(AND('Mapa Riesgos'!$Z$14="Media",'Mapa Riesgos'!$AB$14="Catastrófico"),CONCATENATE("R1C",'Mapa Riesgos'!$P$14),"")</f>
        <v/>
      </c>
      <c r="AJ26" s="42" t="str">
        <f>IF(AND('Mapa Riesgos'!$Z$15="Media",'Mapa Riesgos'!$AB$15="Catastrófico"),CONCATENATE("R1C",'Mapa Riesgos'!$P$15),"")</f>
        <v/>
      </c>
      <c r="AK26" s="42" t="str">
        <f>IF(AND('Mapa Riesgos'!$Z$16="Media",'Mapa Riesgos'!$AB$16="Catastrófico"),CONCATENATE("R1C",'Mapa Riesgos'!$P$16),"")</f>
        <v/>
      </c>
      <c r="AL26" s="42" t="str">
        <f>IF(AND('Mapa Riesgos'!$Z$17="Media",'Mapa Riesgos'!$AB$17="Catastrófico"),CONCATENATE("R1C",'Mapa Riesgos'!$P$17),"")</f>
        <v/>
      </c>
      <c r="AM26" s="43" t="str">
        <f>IF(AND('Mapa Riesgos'!$Z$18="Media",'Mapa Riesgos'!$AB$18="Catastrófico"),CONCATENATE("R1C",'Mapa Riesgos'!$P$18),"")</f>
        <v/>
      </c>
      <c r="AN26" s="76"/>
      <c r="AO26" s="556" t="s">
        <v>77</v>
      </c>
      <c r="AP26" s="557"/>
      <c r="AQ26" s="557"/>
      <c r="AR26" s="557"/>
      <c r="AS26" s="557"/>
      <c r="AT26" s="558"/>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c r="A27" s="76"/>
      <c r="B27" s="477"/>
      <c r="C27" s="477"/>
      <c r="D27" s="478"/>
      <c r="E27" s="534"/>
      <c r="F27" s="535"/>
      <c r="G27" s="535"/>
      <c r="H27" s="535"/>
      <c r="I27" s="520"/>
      <c r="J27" s="60" t="str">
        <f ca="1">IF(AND('Mapa Riesgos'!$Z$19="Media",'Mapa Riesgos'!$AB$19="Leve"),CONCATENATE("R2C",'Mapa Riesgos'!$P$19),"")</f>
        <v/>
      </c>
      <c r="K27" s="61" t="str">
        <f ca="1">IF(AND('Mapa Riesgos'!$Z$20="Media",'Mapa Riesgos'!$AB$20="Leve"),CONCATENATE("R2C",'Mapa Riesgos'!$P$20),"")</f>
        <v/>
      </c>
      <c r="L27" s="61" t="str">
        <f>IF(AND('Mapa Riesgos'!$Z$21="Media",'Mapa Riesgos'!$AB$21="Leve"),CONCATENATE("R2C",'Mapa Riesgos'!$P$21),"")</f>
        <v/>
      </c>
      <c r="M27" s="61" t="str">
        <f>IF(AND('Mapa Riesgos'!$Z$22="Media",'Mapa Riesgos'!$AB$22="Leve"),CONCATENATE("R2C",'Mapa Riesgos'!$P$22),"")</f>
        <v/>
      </c>
      <c r="N27" s="61" t="str">
        <f>IF(AND('Mapa Riesgos'!$Z$23="Media",'Mapa Riesgos'!$AB$23="Leve"),CONCATENATE("R2C",'Mapa Riesgos'!$P$23),"")</f>
        <v/>
      </c>
      <c r="O27" s="62" t="str">
        <f>IF(AND('Mapa Riesgos'!$Z$24="Media",'Mapa Riesgos'!$AB$24="Leve"),CONCATENATE("R2C",'Mapa Riesgos'!$P$24),"")</f>
        <v/>
      </c>
      <c r="P27" s="60" t="str">
        <f ca="1">IF(AND('Mapa Riesgos'!$Z$19="Media",'Mapa Riesgos'!$AB$19="Menor"),CONCATENATE("R2C",'Mapa Riesgos'!$P$19),"")</f>
        <v/>
      </c>
      <c r="Q27" s="61" t="str">
        <f ca="1">IF(AND('Mapa Riesgos'!$Z$20="Media",'Mapa Riesgos'!$AB$20="Menor"),CONCATENATE("R2C",'Mapa Riesgos'!$P$20),"")</f>
        <v/>
      </c>
      <c r="R27" s="61" t="str">
        <f>IF(AND('Mapa Riesgos'!$Z$21="Media",'Mapa Riesgos'!$AB$21="Menor"),CONCATENATE("R2C",'Mapa Riesgos'!$P$21),"")</f>
        <v/>
      </c>
      <c r="S27" s="61" t="str">
        <f>IF(AND('Mapa Riesgos'!$Z$22="Media",'Mapa Riesgos'!$AB$22="Menor"),CONCATENATE("R2C",'Mapa Riesgos'!$P$22),"")</f>
        <v/>
      </c>
      <c r="T27" s="61" t="str">
        <f>IF(AND('Mapa Riesgos'!$Z$23="Media",'Mapa Riesgos'!$AB$23="Menor"),CONCATENATE("R2C",'Mapa Riesgos'!$P$23),"")</f>
        <v/>
      </c>
      <c r="U27" s="62" t="str">
        <f>IF(AND('Mapa Riesgos'!$Z$24="Media",'Mapa Riesgos'!$AB$24="Menor"),CONCATENATE("R2C",'Mapa Riesgos'!$P$24),"")</f>
        <v/>
      </c>
      <c r="V27" s="60" t="str">
        <f ca="1">IF(AND('Mapa Riesgos'!$Z$19="Media",'Mapa Riesgos'!$AB$19="Moderado"),CONCATENATE("R2C",'Mapa Riesgos'!$P$19),"")</f>
        <v/>
      </c>
      <c r="W27" s="61" t="str">
        <f ca="1">IF(AND('Mapa Riesgos'!$Z$20="Media",'Mapa Riesgos'!$AB$20="Moderado"),CONCATENATE("R2C",'Mapa Riesgos'!$P$20),"")</f>
        <v/>
      </c>
      <c r="X27" s="61" t="str">
        <f>IF(AND('Mapa Riesgos'!$Z$21="Media",'Mapa Riesgos'!$AB$21="Moderado"),CONCATENATE("R2C",'Mapa Riesgos'!$P$21),"")</f>
        <v/>
      </c>
      <c r="Y27" s="61" t="str">
        <f>IF(AND('Mapa Riesgos'!$Z$22="Media",'Mapa Riesgos'!$AB$22="Moderado"),CONCATENATE("R2C",'Mapa Riesgos'!$P$22),"")</f>
        <v/>
      </c>
      <c r="Z27" s="61" t="str">
        <f>IF(AND('Mapa Riesgos'!$Z$23="Media",'Mapa Riesgos'!$AB$23="Moderado"),CONCATENATE("R2C",'Mapa Riesgos'!$P$23),"")</f>
        <v/>
      </c>
      <c r="AA27" s="62" t="str">
        <f>IF(AND('Mapa Riesgos'!$Z$24="Media",'Mapa Riesgos'!$AB$24="Moderado"),CONCATENATE("R2C",'Mapa Riesgos'!$P$24),"")</f>
        <v/>
      </c>
      <c r="AB27" s="44" t="str">
        <f ca="1">IF(AND('Mapa Riesgos'!$Z$19="Media",'Mapa Riesgos'!$AB$19="Mayor"),CONCATENATE("R2C",'Mapa Riesgos'!$P$19),"")</f>
        <v/>
      </c>
      <c r="AC27" s="45" t="str">
        <f ca="1">IF(AND('Mapa Riesgos'!$Z$20="Media",'Mapa Riesgos'!$AB$20="Mayor"),CONCATENATE("R2C",'Mapa Riesgos'!$P$20),"")</f>
        <v/>
      </c>
      <c r="AD27" s="45" t="str">
        <f>IF(AND('Mapa Riesgos'!$Z$21="Media",'Mapa Riesgos'!$AB$21="Mayor"),CONCATENATE("R2C",'Mapa Riesgos'!$P$21),"")</f>
        <v/>
      </c>
      <c r="AE27" s="45" t="str">
        <f>IF(AND('Mapa Riesgos'!$Z$22="Media",'Mapa Riesgos'!$AB$22="Mayor"),CONCATENATE("R2C",'Mapa Riesgos'!$P$22),"")</f>
        <v/>
      </c>
      <c r="AF27" s="45" t="str">
        <f>IF(AND('Mapa Riesgos'!$Z$23="Media",'Mapa Riesgos'!$AB$23="Mayor"),CONCATENATE("R2C",'Mapa Riesgos'!$P$23),"")</f>
        <v/>
      </c>
      <c r="AG27" s="46" t="str">
        <f>IF(AND('Mapa Riesgos'!$Z$24="Media",'Mapa Riesgos'!$AB$24="Mayor"),CONCATENATE("R2C",'Mapa Riesgos'!$P$24),"")</f>
        <v/>
      </c>
      <c r="AH27" s="47" t="str">
        <f ca="1">IF(AND('Mapa Riesgos'!$Z$19="Media",'Mapa Riesgos'!$AB$19="Catastrófico"),CONCATENATE("R2C",'Mapa Riesgos'!$P$19),"")</f>
        <v/>
      </c>
      <c r="AI27" s="48" t="str">
        <f ca="1">IF(AND('Mapa Riesgos'!$Z$20="Media",'Mapa Riesgos'!$AB$20="Catastrófico"),CONCATENATE("R2C",'Mapa Riesgos'!$P$20),"")</f>
        <v/>
      </c>
      <c r="AJ27" s="48" t="str">
        <f>IF(AND('Mapa Riesgos'!$Z$21="Media",'Mapa Riesgos'!$AB$21="Catastrófico"),CONCATENATE("R2C",'Mapa Riesgos'!$P$21),"")</f>
        <v/>
      </c>
      <c r="AK27" s="48" t="str">
        <f>IF(AND('Mapa Riesgos'!$Z$22="Media",'Mapa Riesgos'!$AB$22="Catastrófico"),CONCATENATE("R2C",'Mapa Riesgos'!$P$22),"")</f>
        <v/>
      </c>
      <c r="AL27" s="48" t="str">
        <f>IF(AND('Mapa Riesgos'!$Z$23="Media",'Mapa Riesgos'!$AB$23="Catastrófico"),CONCATENATE("R2C",'Mapa Riesgos'!$P$23),"")</f>
        <v/>
      </c>
      <c r="AM27" s="49" t="str">
        <f>IF(AND('Mapa Riesgos'!$Z$24="Media",'Mapa Riesgos'!$AB$24="Catastrófico"),CONCATENATE("R2C",'Mapa Riesgos'!$P$24),"")</f>
        <v/>
      </c>
      <c r="AN27" s="76"/>
      <c r="AO27" s="559"/>
      <c r="AP27" s="560"/>
      <c r="AQ27" s="560"/>
      <c r="AR27" s="560"/>
      <c r="AS27" s="560"/>
      <c r="AT27" s="561"/>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c r="A28" s="76"/>
      <c r="B28" s="477"/>
      <c r="C28" s="477"/>
      <c r="D28" s="478"/>
      <c r="E28" s="518"/>
      <c r="F28" s="519"/>
      <c r="G28" s="519"/>
      <c r="H28" s="519"/>
      <c r="I28" s="520"/>
      <c r="J28" s="60" t="str">
        <f ca="1">IF(AND('Mapa Riesgos'!$Z$25="Media",'Mapa Riesgos'!$AB$25="Leve"),CONCATENATE("R3C",'Mapa Riesgos'!$P$25),"")</f>
        <v/>
      </c>
      <c r="K28" s="61" t="str">
        <f ca="1">IF(AND('Mapa Riesgos'!$Z$26="Media",'Mapa Riesgos'!$AB$26="Leve"),CONCATENATE("R3C",'Mapa Riesgos'!$P$26),"")</f>
        <v/>
      </c>
      <c r="L28" s="61" t="str">
        <f>IF(AND('Mapa Riesgos'!$Z$27="Media",'Mapa Riesgos'!$AB$27="Leve"),CONCATENATE("R3C",'Mapa Riesgos'!$P$27),"")</f>
        <v/>
      </c>
      <c r="M28" s="61" t="str">
        <f>IF(AND('Mapa Riesgos'!$Z$28="Media",'Mapa Riesgos'!$AB$28="Leve"),CONCATENATE("R3C",'Mapa Riesgos'!$P$28),"")</f>
        <v/>
      </c>
      <c r="N28" s="61" t="str">
        <f>IF(AND('Mapa Riesgos'!$Z$29="Media",'Mapa Riesgos'!$AB$29="Leve"),CONCATENATE("R3C",'Mapa Riesgos'!$P$29),"")</f>
        <v/>
      </c>
      <c r="O28" s="62" t="str">
        <f>IF(AND('Mapa Riesgos'!$Z$30="Media",'Mapa Riesgos'!$AB$30="Leve"),CONCATENATE("R3C",'Mapa Riesgos'!$P$30),"")</f>
        <v/>
      </c>
      <c r="P28" s="60" t="str">
        <f ca="1">IF(AND('Mapa Riesgos'!$Z$25="Media",'Mapa Riesgos'!$AB$25="Menor"),CONCATENATE("R3C",'Mapa Riesgos'!$P$25),"")</f>
        <v/>
      </c>
      <c r="Q28" s="61" t="str">
        <f ca="1">IF(AND('Mapa Riesgos'!$Z$26="Media",'Mapa Riesgos'!$AB$26="Menor"),CONCATENATE("R3C",'Mapa Riesgos'!$P$26),"")</f>
        <v/>
      </c>
      <c r="R28" s="61" t="str">
        <f>IF(AND('Mapa Riesgos'!$Z$27="Media",'Mapa Riesgos'!$AB$27="Menor"),CONCATENATE("R3C",'Mapa Riesgos'!$P$27),"")</f>
        <v/>
      </c>
      <c r="S28" s="61" t="str">
        <f>IF(AND('Mapa Riesgos'!$Z$28="Media",'Mapa Riesgos'!$AB$28="Menor"),CONCATENATE("R3C",'Mapa Riesgos'!$P$28),"")</f>
        <v/>
      </c>
      <c r="T28" s="61" t="str">
        <f>IF(AND('Mapa Riesgos'!$Z$29="Media",'Mapa Riesgos'!$AB$29="Menor"),CONCATENATE("R3C",'Mapa Riesgos'!$P$29),"")</f>
        <v/>
      </c>
      <c r="U28" s="62" t="str">
        <f>IF(AND('Mapa Riesgos'!$Z$30="Media",'Mapa Riesgos'!$AB$30="Menor"),CONCATENATE("R3C",'Mapa Riesgos'!$P$30),"")</f>
        <v/>
      </c>
      <c r="V28" s="60" t="str">
        <f ca="1">IF(AND('Mapa Riesgos'!$Z$25="Media",'Mapa Riesgos'!$AB$25="Moderado"),CONCATENATE("R3C",'Mapa Riesgos'!$P$25),"")</f>
        <v/>
      </c>
      <c r="W28" s="61" t="str">
        <f ca="1">IF(AND('Mapa Riesgos'!$Z$26="Media",'Mapa Riesgos'!$AB$26="Moderado"),CONCATENATE("R3C",'Mapa Riesgos'!$P$26),"")</f>
        <v/>
      </c>
      <c r="X28" s="61" t="str">
        <f>IF(AND('Mapa Riesgos'!$Z$27="Media",'Mapa Riesgos'!$AB$27="Moderado"),CONCATENATE("R3C",'Mapa Riesgos'!$P$27),"")</f>
        <v/>
      </c>
      <c r="Y28" s="61" t="str">
        <f>IF(AND('Mapa Riesgos'!$Z$28="Media",'Mapa Riesgos'!$AB$28="Moderado"),CONCATENATE("R3C",'Mapa Riesgos'!$P$28),"")</f>
        <v/>
      </c>
      <c r="Z28" s="61" t="str">
        <f>IF(AND('Mapa Riesgos'!$Z$29="Media",'Mapa Riesgos'!$AB$29="Moderado"),CONCATENATE("R3C",'Mapa Riesgos'!$P$29),"")</f>
        <v/>
      </c>
      <c r="AA28" s="62" t="str">
        <f>IF(AND('Mapa Riesgos'!$Z$30="Media",'Mapa Riesgos'!$AB$30="Moderado"),CONCATENATE("R3C",'Mapa Riesgos'!$P$30),"")</f>
        <v/>
      </c>
      <c r="AB28" s="44" t="str">
        <f ca="1">IF(AND('Mapa Riesgos'!$Z$25="Media",'Mapa Riesgos'!$AB$25="Mayor"),CONCATENATE("R3C",'Mapa Riesgos'!$P$25),"")</f>
        <v/>
      </c>
      <c r="AC28" s="45" t="str">
        <f ca="1">IF(AND('Mapa Riesgos'!$Z$26="Media",'Mapa Riesgos'!$AB$26="Mayor"),CONCATENATE("R3C",'Mapa Riesgos'!$P$26),"")</f>
        <v/>
      </c>
      <c r="AD28" s="45" t="str">
        <f>IF(AND('Mapa Riesgos'!$Z$27="Media",'Mapa Riesgos'!$AB$27="Mayor"),CONCATENATE("R3C",'Mapa Riesgos'!$P$27),"")</f>
        <v/>
      </c>
      <c r="AE28" s="45" t="str">
        <f>IF(AND('Mapa Riesgos'!$Z$28="Media",'Mapa Riesgos'!$AB$28="Mayor"),CONCATENATE("R3C",'Mapa Riesgos'!$P$28),"")</f>
        <v/>
      </c>
      <c r="AF28" s="45" t="str">
        <f>IF(AND('Mapa Riesgos'!$Z$29="Media",'Mapa Riesgos'!$AB$29="Mayor"),CONCATENATE("R3C",'Mapa Riesgos'!$P$29),"")</f>
        <v/>
      </c>
      <c r="AG28" s="46" t="str">
        <f>IF(AND('Mapa Riesgos'!$Z$30="Media",'Mapa Riesgos'!$AB$30="Mayor"),CONCATENATE("R3C",'Mapa Riesgos'!$P$30),"")</f>
        <v/>
      </c>
      <c r="AH28" s="47" t="str">
        <f ca="1">IF(AND('Mapa Riesgos'!$Z$25="Media",'Mapa Riesgos'!$AB$25="Catastrófico"),CONCATENATE("R3C",'Mapa Riesgos'!$P$25),"")</f>
        <v/>
      </c>
      <c r="AI28" s="48" t="str">
        <f ca="1">IF(AND('Mapa Riesgos'!$Z$26="Media",'Mapa Riesgos'!$AB$26="Catastrófico"),CONCATENATE("R3C",'Mapa Riesgos'!$P$26),"")</f>
        <v/>
      </c>
      <c r="AJ28" s="48" t="str">
        <f>IF(AND('Mapa Riesgos'!$Z$27="Media",'Mapa Riesgos'!$AB$27="Catastrófico"),CONCATENATE("R3C",'Mapa Riesgos'!$P$27),"")</f>
        <v/>
      </c>
      <c r="AK28" s="48" t="str">
        <f>IF(AND('Mapa Riesgos'!$Z$28="Media",'Mapa Riesgos'!$AB$28="Catastrófico"),CONCATENATE("R3C",'Mapa Riesgos'!$P$28),"")</f>
        <v/>
      </c>
      <c r="AL28" s="48" t="str">
        <f>IF(AND('Mapa Riesgos'!$Z$29="Media",'Mapa Riesgos'!$AB$29="Catastrófico"),CONCATENATE("R3C",'Mapa Riesgos'!$P$29),"")</f>
        <v/>
      </c>
      <c r="AM28" s="49" t="str">
        <f>IF(AND('Mapa Riesgos'!$Z$30="Media",'Mapa Riesgos'!$AB$30="Catastrófico"),CONCATENATE("R3C",'Mapa Riesgos'!$P$30),"")</f>
        <v/>
      </c>
      <c r="AN28" s="76"/>
      <c r="AO28" s="559"/>
      <c r="AP28" s="560"/>
      <c r="AQ28" s="560"/>
      <c r="AR28" s="560"/>
      <c r="AS28" s="560"/>
      <c r="AT28" s="561"/>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c r="A29" s="76"/>
      <c r="B29" s="477"/>
      <c r="C29" s="477"/>
      <c r="D29" s="478"/>
      <c r="E29" s="518"/>
      <c r="F29" s="519"/>
      <c r="G29" s="519"/>
      <c r="H29" s="519"/>
      <c r="I29" s="520"/>
      <c r="J29" s="60" t="str">
        <f ca="1">IF(AND('Mapa Riesgos'!$Z$31="Media",'Mapa Riesgos'!$AB$31="Leve"),CONCATENATE("R4C",'Mapa Riesgos'!$P$31),"")</f>
        <v/>
      </c>
      <c r="K29" s="61" t="str">
        <f ca="1">IF(AND('Mapa Riesgos'!$Z$32="Media",'Mapa Riesgos'!$AB$32="Leve"),CONCATENATE("R4C",'Mapa Riesgos'!$P$32),"")</f>
        <v/>
      </c>
      <c r="L29" s="61" t="str">
        <f>IF(AND('Mapa Riesgos'!$Z$33="Media",'Mapa Riesgos'!$AB$33="Leve"),CONCATENATE("R4C",'Mapa Riesgos'!$P$33),"")</f>
        <v/>
      </c>
      <c r="M29" s="61" t="str">
        <f>IF(AND('Mapa Riesgos'!$Z$34="Media",'Mapa Riesgos'!$AB$34="Leve"),CONCATENATE("R4C",'Mapa Riesgos'!$P$34),"")</f>
        <v/>
      </c>
      <c r="N29" s="61" t="str">
        <f>IF(AND('Mapa Riesgos'!$Z$35="Media",'Mapa Riesgos'!$AB$35="Leve"),CONCATENATE("R4C",'Mapa Riesgos'!$P$35),"")</f>
        <v/>
      </c>
      <c r="O29" s="62" t="str">
        <f>IF(AND('Mapa Riesgos'!$Z$36="Media",'Mapa Riesgos'!$AB$36="Leve"),CONCATENATE("R4C",'Mapa Riesgos'!$P$36),"")</f>
        <v/>
      </c>
      <c r="P29" s="60" t="str">
        <f ca="1">IF(AND('Mapa Riesgos'!$Z$31="Media",'Mapa Riesgos'!$AB$31="Menor"),CONCATENATE("R4C",'Mapa Riesgos'!$P$31),"")</f>
        <v/>
      </c>
      <c r="Q29" s="61" t="str">
        <f ca="1">IF(AND('Mapa Riesgos'!$Z$32="Media",'Mapa Riesgos'!$AB$32="Menor"),CONCATENATE("R4C",'Mapa Riesgos'!$P$32),"")</f>
        <v/>
      </c>
      <c r="R29" s="61" t="str">
        <f>IF(AND('Mapa Riesgos'!$Z$33="Media",'Mapa Riesgos'!$AB$33="Menor"),CONCATENATE("R4C",'Mapa Riesgos'!$P$33),"")</f>
        <v/>
      </c>
      <c r="S29" s="61" t="str">
        <f>IF(AND('Mapa Riesgos'!$Z$34="Media",'Mapa Riesgos'!$AB$34="Menor"),CONCATENATE("R4C",'Mapa Riesgos'!$P$34),"")</f>
        <v/>
      </c>
      <c r="T29" s="61" t="str">
        <f>IF(AND('Mapa Riesgos'!$Z$35="Media",'Mapa Riesgos'!$AB$35="Menor"),CONCATENATE("R4C",'Mapa Riesgos'!$P$35),"")</f>
        <v/>
      </c>
      <c r="U29" s="62" t="str">
        <f>IF(AND('Mapa Riesgos'!$Z$36="Media",'Mapa Riesgos'!$AB$36="Menor"),CONCATENATE("R4C",'Mapa Riesgos'!$P$36),"")</f>
        <v/>
      </c>
      <c r="V29" s="60" t="str">
        <f ca="1">IF(AND('Mapa Riesgos'!$Z$31="Media",'Mapa Riesgos'!$AB$31="Moderado"),CONCATENATE("R4C",'Mapa Riesgos'!$P$31),"")</f>
        <v/>
      </c>
      <c r="W29" s="61" t="str">
        <f ca="1">IF(AND('Mapa Riesgos'!$Z$32="Media",'Mapa Riesgos'!$AB$32="Moderado"),CONCATENATE("R4C",'Mapa Riesgos'!$P$32),"")</f>
        <v/>
      </c>
      <c r="X29" s="61" t="str">
        <f>IF(AND('Mapa Riesgos'!$Z$33="Media",'Mapa Riesgos'!$AB$33="Moderado"),CONCATENATE("R4C",'Mapa Riesgos'!$P$33),"")</f>
        <v/>
      </c>
      <c r="Y29" s="61" t="str">
        <f>IF(AND('Mapa Riesgos'!$Z$34="Media",'Mapa Riesgos'!$AB$34="Moderado"),CONCATENATE("R4C",'Mapa Riesgos'!$P$34),"")</f>
        <v/>
      </c>
      <c r="Z29" s="61" t="str">
        <f>IF(AND('Mapa Riesgos'!$Z$35="Media",'Mapa Riesgos'!$AB$35="Moderado"),CONCATENATE("R4C",'Mapa Riesgos'!$P$35),"")</f>
        <v/>
      </c>
      <c r="AA29" s="62" t="str">
        <f>IF(AND('Mapa Riesgos'!$Z$36="Media",'Mapa Riesgos'!$AB$36="Moderado"),CONCATENATE("R4C",'Mapa Riesgos'!$P$36),"")</f>
        <v/>
      </c>
      <c r="AB29" s="44" t="str">
        <f ca="1">IF(AND('Mapa Riesgos'!$Z$31="Media",'Mapa Riesgos'!$AB$31="Mayor"),CONCATENATE("R4C",'Mapa Riesgos'!$P$31),"")</f>
        <v/>
      </c>
      <c r="AC29" s="45" t="str">
        <f ca="1">IF(AND('Mapa Riesgos'!$Z$32="Media",'Mapa Riesgos'!$AB$32="Mayor"),CONCATENATE("R4C",'Mapa Riesgos'!$P$32),"")</f>
        <v/>
      </c>
      <c r="AD29" s="50" t="str">
        <f>IF(AND('Mapa Riesgos'!$Z$33="Media",'Mapa Riesgos'!$AB$33="Mayor"),CONCATENATE("R4C",'Mapa Riesgos'!$P$33),"")</f>
        <v/>
      </c>
      <c r="AE29" s="50" t="str">
        <f>IF(AND('Mapa Riesgos'!$Z$34="Media",'Mapa Riesgos'!$AB$34="Mayor"),CONCATENATE("R4C",'Mapa Riesgos'!$P$34),"")</f>
        <v/>
      </c>
      <c r="AF29" s="50" t="str">
        <f>IF(AND('Mapa Riesgos'!$Z$35="Media",'Mapa Riesgos'!$AB$35="Mayor"),CONCATENATE("R4C",'Mapa Riesgos'!$P$35),"")</f>
        <v/>
      </c>
      <c r="AG29" s="46" t="str">
        <f>IF(AND('Mapa Riesgos'!$Z$36="Media",'Mapa Riesgos'!$AB$36="Mayor"),CONCATENATE("R4C",'Mapa Riesgos'!$P$36),"")</f>
        <v/>
      </c>
      <c r="AH29" s="47" t="str">
        <f ca="1">IF(AND('Mapa Riesgos'!$Z$31="Media",'Mapa Riesgos'!$AB$31="Catastrófico"),CONCATENATE("R4C",'Mapa Riesgos'!$P$31),"")</f>
        <v/>
      </c>
      <c r="AI29" s="48" t="str">
        <f ca="1">IF(AND('Mapa Riesgos'!$Z$32="Media",'Mapa Riesgos'!$AB$32="Catastrófico"),CONCATENATE("R4C",'Mapa Riesgos'!$P$32),"")</f>
        <v/>
      </c>
      <c r="AJ29" s="48" t="str">
        <f>IF(AND('Mapa Riesgos'!$Z$33="Media",'Mapa Riesgos'!$AB$33="Catastrófico"),CONCATENATE("R4C",'Mapa Riesgos'!$P$33),"")</f>
        <v/>
      </c>
      <c r="AK29" s="48" t="str">
        <f>IF(AND('Mapa Riesgos'!$Z$34="Media",'Mapa Riesgos'!$AB$34="Catastrófico"),CONCATENATE("R4C",'Mapa Riesgos'!$P$34),"")</f>
        <v/>
      </c>
      <c r="AL29" s="48" t="str">
        <f>IF(AND('Mapa Riesgos'!$Z$35="Media",'Mapa Riesgos'!$AB$35="Catastrófico"),CONCATENATE("R4C",'Mapa Riesgos'!$P$35),"")</f>
        <v/>
      </c>
      <c r="AM29" s="49" t="str">
        <f>IF(AND('Mapa Riesgos'!$Z$36="Media",'Mapa Riesgos'!$AB$36="Catastrófico"),CONCATENATE("R4C",'Mapa Riesgos'!$P$36),"")</f>
        <v/>
      </c>
      <c r="AN29" s="76"/>
      <c r="AO29" s="559"/>
      <c r="AP29" s="560"/>
      <c r="AQ29" s="560"/>
      <c r="AR29" s="560"/>
      <c r="AS29" s="560"/>
      <c r="AT29" s="561"/>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c r="A30" s="76"/>
      <c r="B30" s="477"/>
      <c r="C30" s="477"/>
      <c r="D30" s="478"/>
      <c r="E30" s="518"/>
      <c r="F30" s="519"/>
      <c r="G30" s="519"/>
      <c r="H30" s="519"/>
      <c r="I30" s="520"/>
      <c r="J30" s="60" t="str">
        <f ca="1">IF(AND('Mapa Riesgos'!$Z$37="Media",'Mapa Riesgos'!$AB$37="Leve"),CONCATENATE("R5C",'Mapa Riesgos'!$P$37),"")</f>
        <v/>
      </c>
      <c r="K30" s="61" t="str">
        <f>IF(AND('Mapa Riesgos'!$Z$38="Media",'Mapa Riesgos'!$AB$38="Leve"),CONCATENATE("R5C",'Mapa Riesgos'!$P$38),"")</f>
        <v/>
      </c>
      <c r="L30" s="61" t="str">
        <f>IF(AND('Mapa Riesgos'!$Z$39="Media",'Mapa Riesgos'!$AB$39="Leve"),CONCATENATE("R5C",'Mapa Riesgos'!$P$39),"")</f>
        <v/>
      </c>
      <c r="M30" s="61" t="str">
        <f>IF(AND('Mapa Riesgos'!$Z$40="Media",'Mapa Riesgos'!$AB$40="Leve"),CONCATENATE("R5C",'Mapa Riesgos'!$P$40),"")</f>
        <v/>
      </c>
      <c r="N30" s="61" t="str">
        <f>IF(AND('Mapa Riesgos'!$Z$41="Media",'Mapa Riesgos'!$AB$41="Leve"),CONCATENATE("R5C",'Mapa Riesgos'!$P$41),"")</f>
        <v/>
      </c>
      <c r="O30" s="62" t="str">
        <f>IF(AND('Mapa Riesgos'!$Z$42="Media",'Mapa Riesgos'!$AB$42="Leve"),CONCATENATE("R5C",'Mapa Riesgos'!$P$42),"")</f>
        <v/>
      </c>
      <c r="P30" s="60" t="str">
        <f ca="1">IF(AND('Mapa Riesgos'!$Z$37="Media",'Mapa Riesgos'!$AB$37="Menor"),CONCATENATE("R5C",'Mapa Riesgos'!$P$37),"")</f>
        <v/>
      </c>
      <c r="Q30" s="61" t="str">
        <f>IF(AND('Mapa Riesgos'!$Z$38="Media",'Mapa Riesgos'!$AB$38="Menor"),CONCATENATE("R5C",'Mapa Riesgos'!$P$38),"")</f>
        <v/>
      </c>
      <c r="R30" s="61" t="str">
        <f>IF(AND('Mapa Riesgos'!$Z$39="Media",'Mapa Riesgos'!$AB$39="Menor"),CONCATENATE("R5C",'Mapa Riesgos'!$P$39),"")</f>
        <v/>
      </c>
      <c r="S30" s="61" t="str">
        <f>IF(AND('Mapa Riesgos'!$Z$40="Media",'Mapa Riesgos'!$AB$40="Menor"),CONCATENATE("R5C",'Mapa Riesgos'!$P$40),"")</f>
        <v/>
      </c>
      <c r="T30" s="61" t="str">
        <f>IF(AND('Mapa Riesgos'!$Z$41="Media",'Mapa Riesgos'!$AB$41="Menor"),CONCATENATE("R5C",'Mapa Riesgos'!$P$41),"")</f>
        <v/>
      </c>
      <c r="U30" s="62" t="str">
        <f>IF(AND('Mapa Riesgos'!$Z$42="Media",'Mapa Riesgos'!$AB$42="Menor"),CONCATENATE("R5C",'Mapa Riesgos'!$P$42),"")</f>
        <v/>
      </c>
      <c r="V30" s="60" t="str">
        <f ca="1">IF(AND('Mapa Riesgos'!$Z$37="Media",'Mapa Riesgos'!$AB$37="Moderado"),CONCATENATE("R5C",'Mapa Riesgos'!$P$37),"")</f>
        <v/>
      </c>
      <c r="W30" s="61" t="str">
        <f>IF(AND('Mapa Riesgos'!$Z$38="Media",'Mapa Riesgos'!$AB$38="Moderado"),CONCATENATE("R5C",'Mapa Riesgos'!$P$38),"")</f>
        <v/>
      </c>
      <c r="X30" s="61" t="str">
        <f>IF(AND('Mapa Riesgos'!$Z$39="Media",'Mapa Riesgos'!$AB$39="Moderado"),CONCATENATE("R5C",'Mapa Riesgos'!$P$39),"")</f>
        <v/>
      </c>
      <c r="Y30" s="61" t="str">
        <f>IF(AND('Mapa Riesgos'!$Z$40="Media",'Mapa Riesgos'!$AB$40="Moderado"),CONCATENATE("R5C",'Mapa Riesgos'!$P$40),"")</f>
        <v/>
      </c>
      <c r="Z30" s="61" t="str">
        <f>IF(AND('Mapa Riesgos'!$Z$41="Media",'Mapa Riesgos'!$AB$41="Moderado"),CONCATENATE("R5C",'Mapa Riesgos'!$P$41),"")</f>
        <v/>
      </c>
      <c r="AA30" s="62" t="str">
        <f>IF(AND('Mapa Riesgos'!$Z$42="Media",'Mapa Riesgos'!$AB$42="Moderado"),CONCATENATE("R5C",'Mapa Riesgos'!$P$42),"")</f>
        <v/>
      </c>
      <c r="AB30" s="44" t="str">
        <f ca="1">IF(AND('Mapa Riesgos'!$Z$37="Media",'Mapa Riesgos'!$AB$37="Mayor"),CONCATENATE("R5C",'Mapa Riesgos'!$P$37),"")</f>
        <v/>
      </c>
      <c r="AC30" s="45" t="str">
        <f>IF(AND('Mapa Riesgos'!$Z$38="Media",'Mapa Riesgos'!$AB$38="Mayor"),CONCATENATE("R5C",'Mapa Riesgos'!$P$38),"")</f>
        <v/>
      </c>
      <c r="AD30" s="50" t="str">
        <f>IF(AND('Mapa Riesgos'!$Z$39="Media",'Mapa Riesgos'!$AB$39="Mayor"),CONCATENATE("R5C",'Mapa Riesgos'!$P$39),"")</f>
        <v/>
      </c>
      <c r="AE30" s="50" t="str">
        <f>IF(AND('Mapa Riesgos'!$Z$40="Media",'Mapa Riesgos'!$AB$40="Mayor"),CONCATENATE("R5C",'Mapa Riesgos'!$P$40),"")</f>
        <v/>
      </c>
      <c r="AF30" s="50" t="str">
        <f>IF(AND('Mapa Riesgos'!$Z$41="Media",'Mapa Riesgos'!$AB$41="Mayor"),CONCATENATE("R5C",'Mapa Riesgos'!$P$41),"")</f>
        <v/>
      </c>
      <c r="AG30" s="46" t="str">
        <f>IF(AND('Mapa Riesgos'!$Z$42="Media",'Mapa Riesgos'!$AB$42="Mayor"),CONCATENATE("R5C",'Mapa Riesgos'!$P$42),"")</f>
        <v/>
      </c>
      <c r="AH30" s="47" t="str">
        <f ca="1">IF(AND('Mapa Riesgos'!$Z$37="Media",'Mapa Riesgos'!$AB$37="Catastrófico"),CONCATENATE("R5C",'Mapa Riesgos'!$P$37),"")</f>
        <v/>
      </c>
      <c r="AI30" s="48" t="str">
        <f>IF(AND('Mapa Riesgos'!$Z$38="Media",'Mapa Riesgos'!$AB$38="Catastrófico"),CONCATENATE("R5C",'Mapa Riesgos'!$P$38),"")</f>
        <v/>
      </c>
      <c r="AJ30" s="48" t="str">
        <f>IF(AND('Mapa Riesgos'!$Z$39="Media",'Mapa Riesgos'!$AB$39="Catastrófico"),CONCATENATE("R5C",'Mapa Riesgos'!$P$39),"")</f>
        <v/>
      </c>
      <c r="AK30" s="48" t="str">
        <f>IF(AND('Mapa Riesgos'!$Z$40="Media",'Mapa Riesgos'!$AB$40="Catastrófico"),CONCATENATE("R5C",'Mapa Riesgos'!$P$40),"")</f>
        <v/>
      </c>
      <c r="AL30" s="48" t="str">
        <f>IF(AND('Mapa Riesgos'!$Z$41="Media",'Mapa Riesgos'!$AB$41="Catastrófico"),CONCATENATE("R5C",'Mapa Riesgos'!$P$41),"")</f>
        <v/>
      </c>
      <c r="AM30" s="49" t="str">
        <f>IF(AND('Mapa Riesgos'!$Z$42="Media",'Mapa Riesgos'!$AB$42="Catastrófico"),CONCATENATE("R5C",'Mapa Riesgos'!$P$42),"")</f>
        <v/>
      </c>
      <c r="AN30" s="76"/>
      <c r="AO30" s="559"/>
      <c r="AP30" s="560"/>
      <c r="AQ30" s="560"/>
      <c r="AR30" s="560"/>
      <c r="AS30" s="560"/>
      <c r="AT30" s="561"/>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c r="A31" s="76"/>
      <c r="B31" s="477"/>
      <c r="C31" s="477"/>
      <c r="D31" s="478"/>
      <c r="E31" s="518"/>
      <c r="F31" s="519"/>
      <c r="G31" s="519"/>
      <c r="H31" s="519"/>
      <c r="I31" s="520"/>
      <c r="J31" s="60" t="str">
        <f ca="1">IF(AND('Mapa Riesgos'!$Z$43="Media",'Mapa Riesgos'!$AB$43="Leve"),CONCATENATE("R6C",'Mapa Riesgos'!$P$43),"")</f>
        <v/>
      </c>
      <c r="K31" s="61" t="str">
        <f ca="1">IF(AND('Mapa Riesgos'!$Z$44="Media",'Mapa Riesgos'!$AB$44="Leve"),CONCATENATE("R6C",'Mapa Riesgos'!$P$44),"")</f>
        <v/>
      </c>
      <c r="L31" s="61" t="str">
        <f ca="1">IF(AND('Mapa Riesgos'!$Z$45="Media",'Mapa Riesgos'!$AB$45="Leve"),CONCATENATE("R6C",'Mapa Riesgos'!$P$45),"")</f>
        <v/>
      </c>
      <c r="M31" s="61" t="str">
        <f>IF(AND('Mapa Riesgos'!$Z$46="Media",'Mapa Riesgos'!$AB$46="Leve"),CONCATENATE("R6C",'Mapa Riesgos'!$P$46),"")</f>
        <v/>
      </c>
      <c r="N31" s="61" t="str">
        <f>IF(AND('Mapa Riesgos'!$Z$47="Media",'Mapa Riesgos'!$AB$47="Leve"),CONCATENATE("R6C",'Mapa Riesgos'!$P$47),"")</f>
        <v/>
      </c>
      <c r="O31" s="62" t="str">
        <f>IF(AND('Mapa Riesgos'!$Z$48="Media",'Mapa Riesgos'!$AB$48="Leve"),CONCATENATE("R6C",'Mapa Riesgos'!$P$48),"")</f>
        <v/>
      </c>
      <c r="P31" s="60" t="str">
        <f ca="1">IF(AND('Mapa Riesgos'!$Z$43="Media",'Mapa Riesgos'!$AB$43="Menor"),CONCATENATE("R6C",'Mapa Riesgos'!$P$43),"")</f>
        <v/>
      </c>
      <c r="Q31" s="61" t="str">
        <f ca="1">IF(AND('Mapa Riesgos'!$Z$44="Media",'Mapa Riesgos'!$AB$44="Menor"),CONCATENATE("R6C",'Mapa Riesgos'!$P$44),"")</f>
        <v/>
      </c>
      <c r="R31" s="61" t="str">
        <f ca="1">IF(AND('Mapa Riesgos'!$Z$45="Media",'Mapa Riesgos'!$AB$45="Menor"),CONCATENATE("R6C",'Mapa Riesgos'!$P$45),"")</f>
        <v/>
      </c>
      <c r="S31" s="61" t="str">
        <f>IF(AND('Mapa Riesgos'!$Z$46="Media",'Mapa Riesgos'!$AB$46="Menor"),CONCATENATE("R6C",'Mapa Riesgos'!$P$46),"")</f>
        <v/>
      </c>
      <c r="T31" s="61" t="str">
        <f>IF(AND('Mapa Riesgos'!$Z$47="Media",'Mapa Riesgos'!$AB$47="Menor"),CONCATENATE("R6C",'Mapa Riesgos'!$P$47),"")</f>
        <v/>
      </c>
      <c r="U31" s="62" t="str">
        <f>IF(AND('Mapa Riesgos'!$Z$48="Media",'Mapa Riesgos'!$AB$48="Menor"),CONCATENATE("R6C",'Mapa Riesgos'!$P$48),"")</f>
        <v/>
      </c>
      <c r="V31" s="60" t="str">
        <f ca="1">IF(AND('Mapa Riesgos'!$Z$43="Media",'Mapa Riesgos'!$AB$43="Moderado"),CONCATENATE("R6C",'Mapa Riesgos'!$P$43),"")</f>
        <v/>
      </c>
      <c r="W31" s="61" t="str">
        <f ca="1">IF(AND('Mapa Riesgos'!$Z$44="Media",'Mapa Riesgos'!$AB$44="Moderado"),CONCATENATE("R6C",'Mapa Riesgos'!$P$44),"")</f>
        <v/>
      </c>
      <c r="X31" s="61" t="str">
        <f ca="1">IF(AND('Mapa Riesgos'!$Z$45="Media",'Mapa Riesgos'!$AB$45="Moderado"),CONCATENATE("R6C",'Mapa Riesgos'!$P$45),"")</f>
        <v/>
      </c>
      <c r="Y31" s="61" t="str">
        <f>IF(AND('Mapa Riesgos'!$Z$46="Media",'Mapa Riesgos'!$AB$46="Moderado"),CONCATENATE("R6C",'Mapa Riesgos'!$P$46),"")</f>
        <v/>
      </c>
      <c r="Z31" s="61" t="str">
        <f>IF(AND('Mapa Riesgos'!$Z$47="Media",'Mapa Riesgos'!$AB$47="Moderado"),CONCATENATE("R6C",'Mapa Riesgos'!$P$47),"")</f>
        <v/>
      </c>
      <c r="AA31" s="62" t="str">
        <f>IF(AND('Mapa Riesgos'!$Z$48="Media",'Mapa Riesgos'!$AB$48="Moderado"),CONCATENATE("R6C",'Mapa Riesgos'!$P$48),"")</f>
        <v/>
      </c>
      <c r="AB31" s="44" t="str">
        <f ca="1">IF(AND('Mapa Riesgos'!$Z$43="Media",'Mapa Riesgos'!$AB$43="Mayor"),CONCATENATE("R6C",'Mapa Riesgos'!$P$43),"")</f>
        <v/>
      </c>
      <c r="AC31" s="45" t="str">
        <f ca="1">IF(AND('Mapa Riesgos'!$Z$44="Media",'Mapa Riesgos'!$AB$44="Mayor"),CONCATENATE("R6C",'Mapa Riesgos'!$P$44),"")</f>
        <v/>
      </c>
      <c r="AD31" s="50" t="str">
        <f ca="1">IF(AND('Mapa Riesgos'!$Z$45="Media",'Mapa Riesgos'!$AB$45="Mayor"),CONCATENATE("R6C",'Mapa Riesgos'!$P$45),"")</f>
        <v/>
      </c>
      <c r="AE31" s="50" t="str">
        <f>IF(AND('Mapa Riesgos'!$Z$46="Media",'Mapa Riesgos'!$AB$46="Mayor"),CONCATENATE("R6C",'Mapa Riesgos'!$P$46),"")</f>
        <v/>
      </c>
      <c r="AF31" s="50" t="str">
        <f>IF(AND('Mapa Riesgos'!$Z$47="Media",'Mapa Riesgos'!$AB$47="Mayor"),CONCATENATE("R6C",'Mapa Riesgos'!$P$47),"")</f>
        <v/>
      </c>
      <c r="AG31" s="46" t="str">
        <f>IF(AND('Mapa Riesgos'!$Z$48="Media",'Mapa Riesgos'!$AB$48="Mayor"),CONCATENATE("R6C",'Mapa Riesgos'!$P$48),"")</f>
        <v/>
      </c>
      <c r="AH31" s="47" t="str">
        <f ca="1">IF(AND('Mapa Riesgos'!$Z$43="Media",'Mapa Riesgos'!$AB$43="Catastrófico"),CONCATENATE("R6C",'Mapa Riesgos'!$P$43),"")</f>
        <v/>
      </c>
      <c r="AI31" s="48" t="str">
        <f ca="1">IF(AND('Mapa Riesgos'!$Z$44="Media",'Mapa Riesgos'!$AB$44="Catastrófico"),CONCATENATE("R6C",'Mapa Riesgos'!$P$44),"")</f>
        <v/>
      </c>
      <c r="AJ31" s="48" t="str">
        <f ca="1">IF(AND('Mapa Riesgos'!$Z$45="Media",'Mapa Riesgos'!$AB$45="Catastrófico"),CONCATENATE("R6C",'Mapa Riesgos'!$P$45),"")</f>
        <v/>
      </c>
      <c r="AK31" s="48" t="str">
        <f>IF(AND('Mapa Riesgos'!$Z$46="Media",'Mapa Riesgos'!$AB$46="Catastrófico"),CONCATENATE("R6C",'Mapa Riesgos'!$P$46),"")</f>
        <v/>
      </c>
      <c r="AL31" s="48" t="str">
        <f>IF(AND('Mapa Riesgos'!$Z$47="Media",'Mapa Riesgos'!$AB$47="Catastrófico"),CONCATENATE("R6C",'Mapa Riesgos'!$P$47),"")</f>
        <v/>
      </c>
      <c r="AM31" s="49" t="str">
        <f>IF(AND('Mapa Riesgos'!$Z$48="Media",'Mapa Riesgos'!$AB$48="Catastrófico"),CONCATENATE("R6C",'Mapa Riesgos'!$P$48),"")</f>
        <v/>
      </c>
      <c r="AN31" s="76"/>
      <c r="AO31" s="559"/>
      <c r="AP31" s="560"/>
      <c r="AQ31" s="560"/>
      <c r="AR31" s="560"/>
      <c r="AS31" s="560"/>
      <c r="AT31" s="561"/>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c r="A32" s="76"/>
      <c r="B32" s="477"/>
      <c r="C32" s="477"/>
      <c r="D32" s="478"/>
      <c r="E32" s="518"/>
      <c r="F32" s="519"/>
      <c r="G32" s="519"/>
      <c r="H32" s="519"/>
      <c r="I32" s="520"/>
      <c r="J32" s="60" t="str">
        <f ca="1">IF(AND('Mapa Riesgos'!$Z$49="Media",'Mapa Riesgos'!$AB$49="Leve"),CONCATENATE("R7C",'Mapa Riesgos'!$P$49),"")</f>
        <v/>
      </c>
      <c r="K32" s="61" t="str">
        <f>IF(AND('Mapa Riesgos'!$Z$50="Media",'Mapa Riesgos'!$AB$50="Leve"),CONCATENATE("R7C",'Mapa Riesgos'!$P$50),"")</f>
        <v/>
      </c>
      <c r="L32" s="61" t="str">
        <f>IF(AND('Mapa Riesgos'!$Z$51="Media",'Mapa Riesgos'!$AB$51="Leve"),CONCATENATE("R7C",'Mapa Riesgos'!$P$51),"")</f>
        <v/>
      </c>
      <c r="M32" s="61" t="str">
        <f>IF(AND('Mapa Riesgos'!$Z$52="Media",'Mapa Riesgos'!$AB$52="Leve"),CONCATENATE("R7C",'Mapa Riesgos'!$P$52),"")</f>
        <v/>
      </c>
      <c r="N32" s="61" t="str">
        <f>IF(AND('Mapa Riesgos'!$Z$53="Media",'Mapa Riesgos'!$AB$53="Leve"),CONCATENATE("R7C",'Mapa Riesgos'!$P$53),"")</f>
        <v/>
      </c>
      <c r="O32" s="62" t="str">
        <f>IF(AND('Mapa Riesgos'!$Z$54="Media",'Mapa Riesgos'!$AB$54="Leve"),CONCATENATE("R7C",'Mapa Riesgos'!$P$54),"")</f>
        <v/>
      </c>
      <c r="P32" s="60" t="str">
        <f ca="1">IF(AND('Mapa Riesgos'!$Z$49="Media",'Mapa Riesgos'!$AB$49="Menor"),CONCATENATE("R7C",'Mapa Riesgos'!$P$49),"")</f>
        <v/>
      </c>
      <c r="Q32" s="61" t="str">
        <f>IF(AND('Mapa Riesgos'!$Z$50="Media",'Mapa Riesgos'!$AB$50="Menor"),CONCATENATE("R7C",'Mapa Riesgos'!$P$50),"")</f>
        <v/>
      </c>
      <c r="R32" s="61" t="str">
        <f>IF(AND('Mapa Riesgos'!$Z$51="Media",'Mapa Riesgos'!$AB$51="Menor"),CONCATENATE("R7C",'Mapa Riesgos'!$P$51),"")</f>
        <v/>
      </c>
      <c r="S32" s="61" t="str">
        <f>IF(AND('Mapa Riesgos'!$Z$52="Media",'Mapa Riesgos'!$AB$52="Menor"),CONCATENATE("R7C",'Mapa Riesgos'!$P$52),"")</f>
        <v/>
      </c>
      <c r="T32" s="61" t="str">
        <f>IF(AND('Mapa Riesgos'!$Z$53="Media",'Mapa Riesgos'!$AB$53="Menor"),CONCATENATE("R7C",'Mapa Riesgos'!$P$53),"")</f>
        <v/>
      </c>
      <c r="U32" s="62" t="str">
        <f>IF(AND('Mapa Riesgos'!$Z$54="Media",'Mapa Riesgos'!$AB$54="Menor"),CONCATENATE("R7C",'Mapa Riesgos'!$P$54),"")</f>
        <v/>
      </c>
      <c r="V32" s="60" t="str">
        <f ca="1">IF(AND('Mapa Riesgos'!$Z$49="Media",'Mapa Riesgos'!$AB$49="Moderado"),CONCATENATE("R7C",'Mapa Riesgos'!$P$49),"")</f>
        <v/>
      </c>
      <c r="W32" s="61" t="str">
        <f>IF(AND('Mapa Riesgos'!$Z$50="Media",'Mapa Riesgos'!$AB$50="Moderado"),CONCATENATE("R7C",'Mapa Riesgos'!$P$50),"")</f>
        <v/>
      </c>
      <c r="X32" s="61" t="str">
        <f>IF(AND('Mapa Riesgos'!$Z$51="Media",'Mapa Riesgos'!$AB$51="Moderado"),CONCATENATE("R7C",'Mapa Riesgos'!$P$51),"")</f>
        <v/>
      </c>
      <c r="Y32" s="61" t="str">
        <f>IF(AND('Mapa Riesgos'!$Z$52="Media",'Mapa Riesgos'!$AB$52="Moderado"),CONCATENATE("R7C",'Mapa Riesgos'!$P$52),"")</f>
        <v/>
      </c>
      <c r="Z32" s="61" t="str">
        <f>IF(AND('Mapa Riesgos'!$Z$53="Media",'Mapa Riesgos'!$AB$53="Moderado"),CONCATENATE("R7C",'Mapa Riesgos'!$P$53),"")</f>
        <v/>
      </c>
      <c r="AA32" s="62" t="str">
        <f>IF(AND('Mapa Riesgos'!$Z$54="Media",'Mapa Riesgos'!$AB$54="Moderado"),CONCATENATE("R7C",'Mapa Riesgos'!$P$54),"")</f>
        <v/>
      </c>
      <c r="AB32" s="44" t="str">
        <f ca="1">IF(AND('Mapa Riesgos'!$Z$49="Media",'Mapa Riesgos'!$AB$49="Mayor"),CONCATENATE("R7C",'Mapa Riesgos'!$P$49),"")</f>
        <v/>
      </c>
      <c r="AC32" s="45" t="str">
        <f>IF(AND('Mapa Riesgos'!$Z$50="Media",'Mapa Riesgos'!$AB$50="Mayor"),CONCATENATE("R7C",'Mapa Riesgos'!$P$50),"")</f>
        <v/>
      </c>
      <c r="AD32" s="50" t="str">
        <f>IF(AND('Mapa Riesgos'!$Z$51="Media",'Mapa Riesgos'!$AB$51="Mayor"),CONCATENATE("R7C",'Mapa Riesgos'!$P$51),"")</f>
        <v/>
      </c>
      <c r="AE32" s="50" t="str">
        <f>IF(AND('Mapa Riesgos'!$Z$52="Media",'Mapa Riesgos'!$AB$52="Mayor"),CONCATENATE("R7C",'Mapa Riesgos'!$P$52),"")</f>
        <v/>
      </c>
      <c r="AF32" s="50" t="str">
        <f>IF(AND('Mapa Riesgos'!$Z$53="Media",'Mapa Riesgos'!$AB$53="Mayor"),CONCATENATE("R7C",'Mapa Riesgos'!$P$53),"")</f>
        <v/>
      </c>
      <c r="AG32" s="46" t="str">
        <f>IF(AND('Mapa Riesgos'!$Z$54="Media",'Mapa Riesgos'!$AB$54="Mayor"),CONCATENATE("R7C",'Mapa Riesgos'!$P$54),"")</f>
        <v/>
      </c>
      <c r="AH32" s="47" t="str">
        <f ca="1">IF(AND('Mapa Riesgos'!$Z$49="Media",'Mapa Riesgos'!$AB$49="Catastrófico"),CONCATENATE("R7C",'Mapa Riesgos'!$P$49),"")</f>
        <v/>
      </c>
      <c r="AI32" s="48" t="str">
        <f>IF(AND('Mapa Riesgos'!$Z$50="Media",'Mapa Riesgos'!$AB$50="Catastrófico"),CONCATENATE("R7C",'Mapa Riesgos'!$P$50),"")</f>
        <v/>
      </c>
      <c r="AJ32" s="48" t="str">
        <f>IF(AND('Mapa Riesgos'!$Z$51="Media",'Mapa Riesgos'!$AB$51="Catastrófico"),CONCATENATE("R7C",'Mapa Riesgos'!$P$51),"")</f>
        <v/>
      </c>
      <c r="AK32" s="48" t="str">
        <f>IF(AND('Mapa Riesgos'!$Z$52="Media",'Mapa Riesgos'!$AB$52="Catastrófico"),CONCATENATE("R7C",'Mapa Riesgos'!$P$52),"")</f>
        <v/>
      </c>
      <c r="AL32" s="48" t="str">
        <f>IF(AND('Mapa Riesgos'!$Z$53="Media",'Mapa Riesgos'!$AB$53="Catastrófico"),CONCATENATE("R7C",'Mapa Riesgos'!$P$53),"")</f>
        <v/>
      </c>
      <c r="AM32" s="49" t="str">
        <f>IF(AND('Mapa Riesgos'!$Z$54="Media",'Mapa Riesgos'!$AB$54="Catastrófico"),CONCATENATE("R7C",'Mapa Riesgos'!$P$54),"")</f>
        <v/>
      </c>
      <c r="AN32" s="76"/>
      <c r="AO32" s="559"/>
      <c r="AP32" s="560"/>
      <c r="AQ32" s="560"/>
      <c r="AR32" s="560"/>
      <c r="AS32" s="560"/>
      <c r="AT32" s="561"/>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c r="A33" s="76"/>
      <c r="B33" s="477"/>
      <c r="C33" s="477"/>
      <c r="D33" s="478"/>
      <c r="E33" s="518"/>
      <c r="F33" s="519"/>
      <c r="G33" s="519"/>
      <c r="H33" s="519"/>
      <c r="I33" s="520"/>
      <c r="J33" s="60" t="str">
        <f ca="1">IF(AND('Mapa Riesgos'!$Z$55="Media",'Mapa Riesgos'!$AB$55="Leve"),CONCATENATE("R8C",'Mapa Riesgos'!$P$55),"")</f>
        <v/>
      </c>
      <c r="K33" s="61" t="str">
        <f ca="1">IF(AND('Mapa Riesgos'!$Z$56="Media",'Mapa Riesgos'!$AB$56="Leve"),CONCATENATE("R8C",'Mapa Riesgos'!$P$56),"")</f>
        <v/>
      </c>
      <c r="L33" s="61" t="str">
        <f>IF(AND('Mapa Riesgos'!$Z$57="Media",'Mapa Riesgos'!$AB$57="Leve"),CONCATENATE("R8C",'Mapa Riesgos'!$P$57),"")</f>
        <v/>
      </c>
      <c r="M33" s="61" t="str">
        <f>IF(AND('Mapa Riesgos'!$Z$58="Media",'Mapa Riesgos'!$AB$58="Leve"),CONCATENATE("R8C",'Mapa Riesgos'!$P$58),"")</f>
        <v/>
      </c>
      <c r="N33" s="61" t="str">
        <f>IF(AND('Mapa Riesgos'!$Z$59="Media",'Mapa Riesgos'!$AB$59="Leve"),CONCATENATE("R8C",'Mapa Riesgos'!$P$59),"")</f>
        <v/>
      </c>
      <c r="O33" s="62" t="str">
        <f>IF(AND('Mapa Riesgos'!$Z$60="Media",'Mapa Riesgos'!$AB$60="Leve"),CONCATENATE("R8C",'Mapa Riesgos'!$P$60),"")</f>
        <v/>
      </c>
      <c r="P33" s="60" t="str">
        <f ca="1">IF(AND('Mapa Riesgos'!$Z$55="Media",'Mapa Riesgos'!$AB$55="Menor"),CONCATENATE("R8C",'Mapa Riesgos'!$P$55),"")</f>
        <v/>
      </c>
      <c r="Q33" s="61" t="str">
        <f ca="1">IF(AND('Mapa Riesgos'!$Z$56="Media",'Mapa Riesgos'!$AB$56="Menor"),CONCATENATE("R8C",'Mapa Riesgos'!$P$56),"")</f>
        <v/>
      </c>
      <c r="R33" s="61" t="str">
        <f>IF(AND('Mapa Riesgos'!$Z$57="Media",'Mapa Riesgos'!$AB$57="Menor"),CONCATENATE("R8C",'Mapa Riesgos'!$P$57),"")</f>
        <v/>
      </c>
      <c r="S33" s="61" t="str">
        <f>IF(AND('Mapa Riesgos'!$Z$58="Media",'Mapa Riesgos'!$AB$58="Menor"),CONCATENATE("R8C",'Mapa Riesgos'!$P$58),"")</f>
        <v/>
      </c>
      <c r="T33" s="61" t="str">
        <f>IF(AND('Mapa Riesgos'!$Z$59="Media",'Mapa Riesgos'!$AB$59="Menor"),CONCATENATE("R8C",'Mapa Riesgos'!$P$59),"")</f>
        <v/>
      </c>
      <c r="U33" s="62" t="str">
        <f>IF(AND('Mapa Riesgos'!$Z$60="Media",'Mapa Riesgos'!$AB$60="Menor"),CONCATENATE("R8C",'Mapa Riesgos'!$P$60),"")</f>
        <v/>
      </c>
      <c r="V33" s="60" t="str">
        <f ca="1">IF(AND('Mapa Riesgos'!$Z$55="Media",'Mapa Riesgos'!$AB$55="Moderado"),CONCATENATE("R8C",'Mapa Riesgos'!$P$55),"")</f>
        <v/>
      </c>
      <c r="W33" s="61" t="str">
        <f ca="1">IF(AND('Mapa Riesgos'!$Z$56="Media",'Mapa Riesgos'!$AB$56="Moderado"),CONCATENATE("R8C",'Mapa Riesgos'!$P$56),"")</f>
        <v/>
      </c>
      <c r="X33" s="61" t="str">
        <f>IF(AND('Mapa Riesgos'!$Z$57="Media",'Mapa Riesgos'!$AB$57="Moderado"),CONCATENATE("R8C",'Mapa Riesgos'!$P$57),"")</f>
        <v/>
      </c>
      <c r="Y33" s="61" t="str">
        <f>IF(AND('Mapa Riesgos'!$Z$58="Media",'Mapa Riesgos'!$AB$58="Moderado"),CONCATENATE("R8C",'Mapa Riesgos'!$P$58),"")</f>
        <v/>
      </c>
      <c r="Z33" s="61" t="str">
        <f>IF(AND('Mapa Riesgos'!$Z$59="Media",'Mapa Riesgos'!$AB$59="Moderado"),CONCATENATE("R8C",'Mapa Riesgos'!$P$59),"")</f>
        <v/>
      </c>
      <c r="AA33" s="62" t="str">
        <f>IF(AND('Mapa Riesgos'!$Z$60="Media",'Mapa Riesgos'!$AB$60="Moderado"),CONCATENATE("R8C",'Mapa Riesgos'!$P$60),"")</f>
        <v/>
      </c>
      <c r="AB33" s="44" t="str">
        <f ca="1">IF(AND('Mapa Riesgos'!$Z$55="Media",'Mapa Riesgos'!$AB$55="Mayor"),CONCATENATE("R8C",'Mapa Riesgos'!$P$55),"")</f>
        <v/>
      </c>
      <c r="AC33" s="45" t="str">
        <f ca="1">IF(AND('Mapa Riesgos'!$Z$56="Media",'Mapa Riesgos'!$AB$56="Mayor"),CONCATENATE("R8C",'Mapa Riesgos'!$P$56),"")</f>
        <v/>
      </c>
      <c r="AD33" s="50" t="str">
        <f>IF(AND('Mapa Riesgos'!$Z$57="Media",'Mapa Riesgos'!$AB$57="Mayor"),CONCATENATE("R8C",'Mapa Riesgos'!$P$57),"")</f>
        <v/>
      </c>
      <c r="AE33" s="50" t="str">
        <f>IF(AND('Mapa Riesgos'!$Z$58="Media",'Mapa Riesgos'!$AB$58="Mayor"),CONCATENATE("R8C",'Mapa Riesgos'!$P$58),"")</f>
        <v/>
      </c>
      <c r="AF33" s="50" t="str">
        <f>IF(AND('Mapa Riesgos'!$Z$59="Media",'Mapa Riesgos'!$AB$59="Mayor"),CONCATENATE("R8C",'Mapa Riesgos'!$P$59),"")</f>
        <v/>
      </c>
      <c r="AG33" s="46" t="str">
        <f>IF(AND('Mapa Riesgos'!$Z$60="Media",'Mapa Riesgos'!$AB$60="Mayor"),CONCATENATE("R8C",'Mapa Riesgos'!$P$60),"")</f>
        <v/>
      </c>
      <c r="AH33" s="47" t="str">
        <f ca="1">IF(AND('Mapa Riesgos'!$Z$55="Media",'Mapa Riesgos'!$AB$55="Catastrófico"),CONCATENATE("R8C",'Mapa Riesgos'!$P$55),"")</f>
        <v/>
      </c>
      <c r="AI33" s="48" t="str">
        <f ca="1">IF(AND('Mapa Riesgos'!$Z$56="Media",'Mapa Riesgos'!$AB$56="Catastrófico"),CONCATENATE("R8C",'Mapa Riesgos'!$P$56),"")</f>
        <v/>
      </c>
      <c r="AJ33" s="48" t="str">
        <f>IF(AND('Mapa Riesgos'!$Z$57="Media",'Mapa Riesgos'!$AB$57="Catastrófico"),CONCATENATE("R8C",'Mapa Riesgos'!$P$57),"")</f>
        <v/>
      </c>
      <c r="AK33" s="48" t="str">
        <f>IF(AND('Mapa Riesgos'!$Z$58="Media",'Mapa Riesgos'!$AB$58="Catastrófico"),CONCATENATE("R8C",'Mapa Riesgos'!$P$58),"")</f>
        <v/>
      </c>
      <c r="AL33" s="48" t="str">
        <f>IF(AND('Mapa Riesgos'!$Z$59="Media",'Mapa Riesgos'!$AB$59="Catastrófico"),CONCATENATE("R8C",'Mapa Riesgos'!$P$59),"")</f>
        <v/>
      </c>
      <c r="AM33" s="49" t="str">
        <f>IF(AND('Mapa Riesgos'!$Z$60="Media",'Mapa Riesgos'!$AB$60="Catastrófico"),CONCATENATE("R8C",'Mapa Riesgos'!$P$60),"")</f>
        <v/>
      </c>
      <c r="AN33" s="76"/>
      <c r="AO33" s="559"/>
      <c r="AP33" s="560"/>
      <c r="AQ33" s="560"/>
      <c r="AR33" s="560"/>
      <c r="AS33" s="560"/>
      <c r="AT33" s="561"/>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c r="A34" s="76"/>
      <c r="B34" s="477"/>
      <c r="C34" s="477"/>
      <c r="D34" s="478"/>
      <c r="E34" s="518"/>
      <c r="F34" s="519"/>
      <c r="G34" s="519"/>
      <c r="H34" s="519"/>
      <c r="I34" s="520"/>
      <c r="J34" s="60" t="str">
        <f ca="1">IF(AND('Mapa Riesgos'!$Z$61="Media",'Mapa Riesgos'!$AB$61="Leve"),CONCATENATE("R9C",'Mapa Riesgos'!$P$61),"")</f>
        <v/>
      </c>
      <c r="K34" s="61" t="str">
        <f ca="1">IF(AND('Mapa Riesgos'!$Z$62="Media",'Mapa Riesgos'!$AB$62="Leve"),CONCATENATE("R9C",'Mapa Riesgos'!$P$62),"")</f>
        <v/>
      </c>
      <c r="L34" s="61" t="str">
        <f>IF(AND('Mapa Riesgos'!$Z$63="Media",'Mapa Riesgos'!$AB$63="Leve"),CONCATENATE("R9C",'Mapa Riesgos'!$P$63),"")</f>
        <v/>
      </c>
      <c r="M34" s="61" t="str">
        <f>IF(AND('Mapa Riesgos'!$Z$64="Media",'Mapa Riesgos'!$AB$64="Leve"),CONCATENATE("R9C",'Mapa Riesgos'!$P$64),"")</f>
        <v/>
      </c>
      <c r="N34" s="61" t="str">
        <f>IF(AND('Mapa Riesgos'!$Z$65="Media",'Mapa Riesgos'!$AB$65="Leve"),CONCATENATE("R9C",'Mapa Riesgos'!$P$65),"")</f>
        <v/>
      </c>
      <c r="O34" s="62" t="str">
        <f>IF(AND('Mapa Riesgos'!$Z$66="Media",'Mapa Riesgos'!$AB$66="Leve"),CONCATENATE("R9C",'Mapa Riesgos'!$P$66),"")</f>
        <v/>
      </c>
      <c r="P34" s="60" t="str">
        <f ca="1">IF(AND('Mapa Riesgos'!$Z$61="Media",'Mapa Riesgos'!$AB$61="Menor"),CONCATENATE("R9C",'Mapa Riesgos'!$P$61),"")</f>
        <v/>
      </c>
      <c r="Q34" s="61" t="str">
        <f ca="1">IF(AND('Mapa Riesgos'!$Z$62="Media",'Mapa Riesgos'!$AB$62="Menor"),CONCATENATE("R9C",'Mapa Riesgos'!$P$62),"")</f>
        <v/>
      </c>
      <c r="R34" s="61" t="str">
        <f>IF(AND('Mapa Riesgos'!$Z$63="Media",'Mapa Riesgos'!$AB$63="Menor"),CONCATENATE("R9C",'Mapa Riesgos'!$P$63),"")</f>
        <v/>
      </c>
      <c r="S34" s="61" t="str">
        <f>IF(AND('Mapa Riesgos'!$Z$64="Media",'Mapa Riesgos'!$AB$64="Menor"),CONCATENATE("R9C",'Mapa Riesgos'!$P$64),"")</f>
        <v/>
      </c>
      <c r="T34" s="61" t="str">
        <f>IF(AND('Mapa Riesgos'!$Z$65="Media",'Mapa Riesgos'!$AB$65="Menor"),CONCATENATE("R9C",'Mapa Riesgos'!$P$65),"")</f>
        <v/>
      </c>
      <c r="U34" s="62" t="str">
        <f>IF(AND('Mapa Riesgos'!$Z$66="Media",'Mapa Riesgos'!$AB$66="Menor"),CONCATENATE("R9C",'Mapa Riesgos'!$P$66),"")</f>
        <v/>
      </c>
      <c r="V34" s="60" t="str">
        <f ca="1">IF(AND('Mapa Riesgos'!$Z$61="Media",'Mapa Riesgos'!$AB$61="Moderado"),CONCATENATE("R9C",'Mapa Riesgos'!$P$61),"")</f>
        <v/>
      </c>
      <c r="W34" s="61" t="str">
        <f ca="1">IF(AND('Mapa Riesgos'!$Z$62="Media",'Mapa Riesgos'!$AB$62="Moderado"),CONCATENATE("R9C",'Mapa Riesgos'!$P$62),"")</f>
        <v/>
      </c>
      <c r="X34" s="61" t="str">
        <f>IF(AND('Mapa Riesgos'!$Z$63="Media",'Mapa Riesgos'!$AB$63="Moderado"),CONCATENATE("R9C",'Mapa Riesgos'!$P$63),"")</f>
        <v/>
      </c>
      <c r="Y34" s="61" t="str">
        <f>IF(AND('Mapa Riesgos'!$Z$64="Media",'Mapa Riesgos'!$AB$64="Moderado"),CONCATENATE("R9C",'Mapa Riesgos'!$P$64),"")</f>
        <v/>
      </c>
      <c r="Z34" s="61" t="str">
        <f>IF(AND('Mapa Riesgos'!$Z$65="Media",'Mapa Riesgos'!$AB$65="Moderado"),CONCATENATE("R9C",'Mapa Riesgos'!$P$65),"")</f>
        <v/>
      </c>
      <c r="AA34" s="62" t="str">
        <f>IF(AND('Mapa Riesgos'!$Z$66="Media",'Mapa Riesgos'!$AB$66="Moderado"),CONCATENATE("R9C",'Mapa Riesgos'!$P$66),"")</f>
        <v/>
      </c>
      <c r="AB34" s="44" t="str">
        <f ca="1">IF(AND('Mapa Riesgos'!$Z$61="Media",'Mapa Riesgos'!$AB$61="Mayor"),CONCATENATE("R9C",'Mapa Riesgos'!$P$61),"")</f>
        <v/>
      </c>
      <c r="AC34" s="45" t="str">
        <f ca="1">IF(AND('Mapa Riesgos'!$Z$62="Media",'Mapa Riesgos'!$AB$62="Mayor"),CONCATENATE("R9C",'Mapa Riesgos'!$P$62),"")</f>
        <v/>
      </c>
      <c r="AD34" s="50" t="str">
        <f>IF(AND('Mapa Riesgos'!$Z$63="Media",'Mapa Riesgos'!$AB$63="Mayor"),CONCATENATE("R9C",'Mapa Riesgos'!$P$63),"")</f>
        <v/>
      </c>
      <c r="AE34" s="50" t="str">
        <f>IF(AND('Mapa Riesgos'!$Z$64="Media",'Mapa Riesgos'!$AB$64="Mayor"),CONCATENATE("R9C",'Mapa Riesgos'!$P$64),"")</f>
        <v/>
      </c>
      <c r="AF34" s="50" t="str">
        <f>IF(AND('Mapa Riesgos'!$Z$65="Media",'Mapa Riesgos'!$AB$65="Mayor"),CONCATENATE("R9C",'Mapa Riesgos'!$P$65),"")</f>
        <v/>
      </c>
      <c r="AG34" s="46" t="str">
        <f>IF(AND('Mapa Riesgos'!$Z$66="Media",'Mapa Riesgos'!$AB$66="Mayor"),CONCATENATE("R9C",'Mapa Riesgos'!$P$66),"")</f>
        <v/>
      </c>
      <c r="AH34" s="47" t="str">
        <f ca="1">IF(AND('Mapa Riesgos'!$Z$61="Media",'Mapa Riesgos'!$AB$61="Catastrófico"),CONCATENATE("R9C",'Mapa Riesgos'!$P$61),"")</f>
        <v/>
      </c>
      <c r="AI34" s="48" t="str">
        <f ca="1">IF(AND('Mapa Riesgos'!$Z$62="Media",'Mapa Riesgos'!$AB$62="Catastrófico"),CONCATENATE("R9C",'Mapa Riesgos'!$P$62),"")</f>
        <v/>
      </c>
      <c r="AJ34" s="48" t="str">
        <f>IF(AND('Mapa Riesgos'!$Z$63="Media",'Mapa Riesgos'!$AB$63="Catastrófico"),CONCATENATE("R9C",'Mapa Riesgos'!$P$63),"")</f>
        <v/>
      </c>
      <c r="AK34" s="48" t="str">
        <f>IF(AND('Mapa Riesgos'!$Z$64="Media",'Mapa Riesgos'!$AB$64="Catastrófico"),CONCATENATE("R9C",'Mapa Riesgos'!$P$64),"")</f>
        <v/>
      </c>
      <c r="AL34" s="48" t="str">
        <f>IF(AND('Mapa Riesgos'!$Z$65="Media",'Mapa Riesgos'!$AB$65="Catastrófico"),CONCATENATE("R9C",'Mapa Riesgos'!$P$65),"")</f>
        <v/>
      </c>
      <c r="AM34" s="49" t="str">
        <f>IF(AND('Mapa Riesgos'!$Z$66="Media",'Mapa Riesgos'!$AB$66="Catastrófico"),CONCATENATE("R9C",'Mapa Riesgos'!$P$66),"")</f>
        <v/>
      </c>
      <c r="AN34" s="76"/>
      <c r="AO34" s="559"/>
      <c r="AP34" s="560"/>
      <c r="AQ34" s="560"/>
      <c r="AR34" s="560"/>
      <c r="AS34" s="560"/>
      <c r="AT34" s="561"/>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c r="A35" s="76"/>
      <c r="B35" s="477"/>
      <c r="C35" s="477"/>
      <c r="D35" s="478"/>
      <c r="E35" s="521"/>
      <c r="F35" s="522"/>
      <c r="G35" s="522"/>
      <c r="H35" s="522"/>
      <c r="I35" s="523"/>
      <c r="J35" s="60" t="str">
        <f>IF(AND('Mapa Riesgos'!$Z$67="Media",'Mapa Riesgos'!$AB$67="Leve"),CONCATENATE("R10C",'Mapa Riesgos'!$P$67),"")</f>
        <v/>
      </c>
      <c r="K35" s="61" t="str">
        <f>IF(AND('Mapa Riesgos'!$Z$68="Media",'Mapa Riesgos'!$AB$68="Leve"),CONCATENATE("R10C",'Mapa Riesgos'!$P$68),"")</f>
        <v/>
      </c>
      <c r="L35" s="61" t="str">
        <f>IF(AND('Mapa Riesgos'!$Z$69="Media",'Mapa Riesgos'!$AB$69="Leve"),CONCATENATE("R10C",'Mapa Riesgos'!$P$69),"")</f>
        <v/>
      </c>
      <c r="M35" s="61" t="str">
        <f>IF(AND('Mapa Riesgos'!$Z$70="Media",'Mapa Riesgos'!$AB$70="Leve"),CONCATENATE("R10C",'Mapa Riesgos'!$P$70),"")</f>
        <v/>
      </c>
      <c r="N35" s="61" t="str">
        <f>IF(AND('Mapa Riesgos'!$Z$71="Media",'Mapa Riesgos'!$AB$71="Leve"),CONCATENATE("R10C",'Mapa Riesgos'!$P$71),"")</f>
        <v/>
      </c>
      <c r="O35" s="62" t="str">
        <f>IF(AND('Mapa Riesgos'!$Z$72="Media",'Mapa Riesgos'!$AB$72="Leve"),CONCATENATE("R10C",'Mapa Riesgos'!$P$72),"")</f>
        <v/>
      </c>
      <c r="P35" s="60" t="str">
        <f>IF(AND('Mapa Riesgos'!$Z$67="Media",'Mapa Riesgos'!$AB$67="Menor"),CONCATENATE("R10C",'Mapa Riesgos'!$P$67),"")</f>
        <v/>
      </c>
      <c r="Q35" s="61" t="str">
        <f>IF(AND('Mapa Riesgos'!$Z$68="Media",'Mapa Riesgos'!$AB$68="Menor"),CONCATENATE("R10C",'Mapa Riesgos'!$P$68),"")</f>
        <v/>
      </c>
      <c r="R35" s="61" t="str">
        <f>IF(AND('Mapa Riesgos'!$Z$69="Media",'Mapa Riesgos'!$AB$69="Menor"),CONCATENATE("R10C",'Mapa Riesgos'!$P$69),"")</f>
        <v/>
      </c>
      <c r="S35" s="61" t="str">
        <f>IF(AND('Mapa Riesgos'!$Z$70="Media",'Mapa Riesgos'!$AB$70="Menor"),CONCATENATE("R10C",'Mapa Riesgos'!$P$70),"")</f>
        <v/>
      </c>
      <c r="T35" s="61" t="str">
        <f>IF(AND('Mapa Riesgos'!$Z$71="Media",'Mapa Riesgos'!$AB$71="Menor"),CONCATENATE("R10C",'Mapa Riesgos'!$P$71),"")</f>
        <v/>
      </c>
      <c r="U35" s="62" t="str">
        <f>IF(AND('Mapa Riesgos'!$Z$72="Media",'Mapa Riesgos'!$AB$72="Menor"),CONCATENATE("R10C",'Mapa Riesgos'!$P$72),"")</f>
        <v/>
      </c>
      <c r="V35" s="60" t="str">
        <f>IF(AND('Mapa Riesgos'!$Z$67="Media",'Mapa Riesgos'!$AB$67="Moderado"),CONCATENATE("R10C",'Mapa Riesgos'!$P$67),"")</f>
        <v>R10C1</v>
      </c>
      <c r="W35" s="61" t="str">
        <f>IF(AND('Mapa Riesgos'!$Z$68="Media",'Mapa Riesgos'!$AB$68="Moderado"),CONCATENATE("R10C",'Mapa Riesgos'!$P$68),"")</f>
        <v/>
      </c>
      <c r="X35" s="61" t="str">
        <f>IF(AND('Mapa Riesgos'!$Z$69="Media",'Mapa Riesgos'!$AB$69="Moderado"),CONCATENATE("R10C",'Mapa Riesgos'!$P$69),"")</f>
        <v/>
      </c>
      <c r="Y35" s="61" t="str">
        <f>IF(AND('Mapa Riesgos'!$Z$70="Media",'Mapa Riesgos'!$AB$70="Moderado"),CONCATENATE("R10C",'Mapa Riesgos'!$P$70),"")</f>
        <v/>
      </c>
      <c r="Z35" s="61" t="str">
        <f>IF(AND('Mapa Riesgos'!$Z$71="Media",'Mapa Riesgos'!$AB$71="Moderado"),CONCATENATE("R10C",'Mapa Riesgos'!$P$71),"")</f>
        <v/>
      </c>
      <c r="AA35" s="62" t="str">
        <f>IF(AND('Mapa Riesgos'!$Z$72="Media",'Mapa Riesgos'!$AB$72="Moderado"),CONCATENATE("R10C",'Mapa Riesgos'!$P$72),"")</f>
        <v/>
      </c>
      <c r="AB35" s="51" t="str">
        <f>IF(AND('Mapa Riesgos'!$Z$67="Media",'Mapa Riesgos'!$AB$67="Mayor"),CONCATENATE("R10C",'Mapa Riesgos'!$P$67),"")</f>
        <v/>
      </c>
      <c r="AC35" s="52" t="str">
        <f>IF(AND('Mapa Riesgos'!$Z$68="Media",'Mapa Riesgos'!$AB$68="Mayor"),CONCATENATE("R10C",'Mapa Riesgos'!$P$68),"")</f>
        <v/>
      </c>
      <c r="AD35" s="52" t="str">
        <f>IF(AND('Mapa Riesgos'!$Z$69="Media",'Mapa Riesgos'!$AB$69="Mayor"),CONCATENATE("R10C",'Mapa Riesgos'!$P$69),"")</f>
        <v/>
      </c>
      <c r="AE35" s="52" t="str">
        <f>IF(AND('Mapa Riesgos'!$Z$70="Media",'Mapa Riesgos'!$AB$70="Mayor"),CONCATENATE("R10C",'Mapa Riesgos'!$P$70),"")</f>
        <v/>
      </c>
      <c r="AF35" s="52" t="str">
        <f>IF(AND('Mapa Riesgos'!$Z$71="Media",'Mapa Riesgos'!$AB$71="Mayor"),CONCATENATE("R10C",'Mapa Riesgos'!$P$71),"")</f>
        <v/>
      </c>
      <c r="AG35" s="53" t="str">
        <f>IF(AND('Mapa Riesgos'!$Z$72="Media",'Mapa Riesgos'!$AB$72="Mayor"),CONCATENATE("R10C",'Mapa Riesgos'!$P$72),"")</f>
        <v/>
      </c>
      <c r="AH35" s="54" t="str">
        <f>IF(AND('Mapa Riesgos'!$Z$67="Media",'Mapa Riesgos'!$AB$67="Catastrófico"),CONCATENATE("R10C",'Mapa Riesgos'!$P$67),"")</f>
        <v/>
      </c>
      <c r="AI35" s="55" t="str">
        <f>IF(AND('Mapa Riesgos'!$Z$68="Media",'Mapa Riesgos'!$AB$68="Catastrófico"),CONCATENATE("R10C",'Mapa Riesgos'!$P$68),"")</f>
        <v/>
      </c>
      <c r="AJ35" s="55" t="str">
        <f>IF(AND('Mapa Riesgos'!$Z$69="Media",'Mapa Riesgos'!$AB$69="Catastrófico"),CONCATENATE("R10C",'Mapa Riesgos'!$P$69),"")</f>
        <v/>
      </c>
      <c r="AK35" s="55" t="str">
        <f>IF(AND('Mapa Riesgos'!$Z$70="Media",'Mapa Riesgos'!$AB$70="Catastrófico"),CONCATENATE("R10C",'Mapa Riesgos'!$P$70),"")</f>
        <v/>
      </c>
      <c r="AL35" s="55" t="str">
        <f>IF(AND('Mapa Riesgos'!$Z$71="Media",'Mapa Riesgos'!$AB$71="Catastrófico"),CONCATENATE("R10C",'Mapa Riesgos'!$P$71),"")</f>
        <v/>
      </c>
      <c r="AM35" s="56" t="str">
        <f>IF(AND('Mapa Riesgos'!$Z$72="Media",'Mapa Riesgos'!$AB$72="Catastrófico"),CONCATENATE("R10C",'Mapa Riesgos'!$P$72),"")</f>
        <v/>
      </c>
      <c r="AN35" s="76"/>
      <c r="AO35" s="562"/>
      <c r="AP35" s="563"/>
      <c r="AQ35" s="563"/>
      <c r="AR35" s="563"/>
      <c r="AS35" s="563"/>
      <c r="AT35" s="564"/>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c r="A36" s="76"/>
      <c r="B36" s="477"/>
      <c r="C36" s="477"/>
      <c r="D36" s="478"/>
      <c r="E36" s="515" t="s">
        <v>106</v>
      </c>
      <c r="F36" s="516"/>
      <c r="G36" s="516"/>
      <c r="H36" s="516"/>
      <c r="I36" s="516"/>
      <c r="J36" s="66" t="str">
        <f ca="1">IF(AND('Mapa Riesgos'!$Z$13="Baja",'Mapa Riesgos'!$AB$13="Leve"),CONCATENATE("R1C",'Mapa Riesgos'!$P$13),"")</f>
        <v/>
      </c>
      <c r="K36" s="67" t="str">
        <f>IF(AND('Mapa Riesgos'!$Z$14="Baja",'Mapa Riesgos'!$AB$14="Leve"),CONCATENATE("R1C",'Mapa Riesgos'!$P$14),"")</f>
        <v/>
      </c>
      <c r="L36" s="67" t="str">
        <f>IF(AND('Mapa Riesgos'!$Z$15="Baja",'Mapa Riesgos'!$AB$15="Leve"),CONCATENATE("R1C",'Mapa Riesgos'!$P$15),"")</f>
        <v/>
      </c>
      <c r="M36" s="67" t="str">
        <f>IF(AND('Mapa Riesgos'!$Z$16="Baja",'Mapa Riesgos'!$AB$16="Leve"),CONCATENATE("R1C",'Mapa Riesgos'!$P$16),"")</f>
        <v/>
      </c>
      <c r="N36" s="67" t="str">
        <f>IF(AND('Mapa Riesgos'!$Z$17="Baja",'Mapa Riesgos'!$AB$17="Leve"),CONCATENATE("R1C",'Mapa Riesgos'!$P$17),"")</f>
        <v/>
      </c>
      <c r="O36" s="68" t="str">
        <f>IF(AND('Mapa Riesgos'!$Z$18="Baja",'Mapa Riesgos'!$AB$18="Leve"),CONCATENATE("R1C",'Mapa Riesgos'!$P$18),"")</f>
        <v/>
      </c>
      <c r="P36" s="57" t="str">
        <f ca="1">IF(AND('Mapa Riesgos'!$Z$13="Baja",'Mapa Riesgos'!$AB$13="Menor"),CONCATENATE("R1C",'Mapa Riesgos'!$P$13),"")</f>
        <v/>
      </c>
      <c r="Q36" s="58" t="str">
        <f>IF(AND('Mapa Riesgos'!$Z$14="Baja",'Mapa Riesgos'!$AB$14="Menor"),CONCATENATE("R1C",'Mapa Riesgos'!$P$14),"")</f>
        <v/>
      </c>
      <c r="R36" s="58" t="str">
        <f>IF(AND('Mapa Riesgos'!$Z$15="Baja",'Mapa Riesgos'!$AB$15="Menor"),CONCATENATE("R1C",'Mapa Riesgos'!$P$15),"")</f>
        <v/>
      </c>
      <c r="S36" s="58" t="str">
        <f>IF(AND('Mapa Riesgos'!$Z$16="Baja",'Mapa Riesgos'!$AB$16="Menor"),CONCATENATE("R1C",'Mapa Riesgos'!$P$16),"")</f>
        <v/>
      </c>
      <c r="T36" s="58" t="str">
        <f>IF(AND('Mapa Riesgos'!$Z$17="Baja",'Mapa Riesgos'!$AB$17="Menor"),CONCATENATE("R1C",'Mapa Riesgos'!$P$17),"")</f>
        <v/>
      </c>
      <c r="U36" s="59" t="str">
        <f>IF(AND('Mapa Riesgos'!$Z$18="Baja",'Mapa Riesgos'!$AB$18="Menor"),CONCATENATE("R1C",'Mapa Riesgos'!$P$18),"")</f>
        <v/>
      </c>
      <c r="V36" s="57" t="str">
        <f ca="1">IF(AND('Mapa Riesgos'!$Z$13="Baja",'Mapa Riesgos'!$AB$13="Moderado"),CONCATENATE("R1C",'Mapa Riesgos'!$P$13),"")</f>
        <v/>
      </c>
      <c r="W36" s="58" t="str">
        <f>IF(AND('Mapa Riesgos'!$Z$14="Baja",'Mapa Riesgos'!$AB$14="Moderado"),CONCATENATE("R1C",'Mapa Riesgos'!$P$14),"")</f>
        <v/>
      </c>
      <c r="X36" s="58" t="str">
        <f>IF(AND('Mapa Riesgos'!$Z$15="Baja",'Mapa Riesgos'!$AB$15="Moderado"),CONCATENATE("R1C",'Mapa Riesgos'!$P$15),"")</f>
        <v/>
      </c>
      <c r="Y36" s="58" t="str">
        <f>IF(AND('Mapa Riesgos'!$Z$16="Baja",'Mapa Riesgos'!$AB$16="Moderado"),CONCATENATE("R1C",'Mapa Riesgos'!$P$16),"")</f>
        <v/>
      </c>
      <c r="Z36" s="58" t="str">
        <f>IF(AND('Mapa Riesgos'!$Z$17="Baja",'Mapa Riesgos'!$AB$17="Moderado"),CONCATENATE("R1C",'Mapa Riesgos'!$P$17),"")</f>
        <v/>
      </c>
      <c r="AA36" s="59" t="str">
        <f>IF(AND('Mapa Riesgos'!$Z$18="Baja",'Mapa Riesgos'!$AB$18="Moderado"),CONCATENATE("R1C",'Mapa Riesgos'!$P$18),"")</f>
        <v/>
      </c>
      <c r="AB36" s="38" t="str">
        <f ca="1">IF(AND('Mapa Riesgos'!$Z$13="Baja",'Mapa Riesgos'!$AB$13="Mayor"),CONCATENATE("R1C",'Mapa Riesgos'!$P$13),"")</f>
        <v>R1C1</v>
      </c>
      <c r="AC36" s="39" t="str">
        <f>IF(AND('Mapa Riesgos'!$Z$14="Baja",'Mapa Riesgos'!$AB$14="Mayor"),CONCATENATE("R1C",'Mapa Riesgos'!$P$14),"")</f>
        <v/>
      </c>
      <c r="AD36" s="39" t="str">
        <f>IF(AND('Mapa Riesgos'!$Z$15="Baja",'Mapa Riesgos'!$AB$15="Mayor"),CONCATENATE("R1C",'Mapa Riesgos'!$P$15),"")</f>
        <v/>
      </c>
      <c r="AE36" s="39" t="str">
        <f>IF(AND('Mapa Riesgos'!$Z$16="Baja",'Mapa Riesgos'!$AB$16="Mayor"),CONCATENATE("R1C",'Mapa Riesgos'!$P$16),"")</f>
        <v/>
      </c>
      <c r="AF36" s="39" t="str">
        <f>IF(AND('Mapa Riesgos'!$Z$17="Baja",'Mapa Riesgos'!$AB$17="Mayor"),CONCATENATE("R1C",'Mapa Riesgos'!$P$17),"")</f>
        <v/>
      </c>
      <c r="AG36" s="40" t="str">
        <f>IF(AND('Mapa Riesgos'!$Z$18="Baja",'Mapa Riesgos'!$AB$18="Mayor"),CONCATENATE("R1C",'Mapa Riesgos'!$P$18),"")</f>
        <v/>
      </c>
      <c r="AH36" s="41" t="str">
        <f ca="1">IF(AND('Mapa Riesgos'!$Z$13="Baja",'Mapa Riesgos'!$AB$13="Catastrófico"),CONCATENATE("R1C",'Mapa Riesgos'!$P$13),"")</f>
        <v/>
      </c>
      <c r="AI36" s="42" t="str">
        <f>IF(AND('Mapa Riesgos'!$Z$14="Baja",'Mapa Riesgos'!$AB$14="Catastrófico"),CONCATENATE("R1C",'Mapa Riesgos'!$P$14),"")</f>
        <v/>
      </c>
      <c r="AJ36" s="42" t="str">
        <f>IF(AND('Mapa Riesgos'!$Z$15="Baja",'Mapa Riesgos'!$AB$15="Catastrófico"),CONCATENATE("R1C",'Mapa Riesgos'!$P$15),"")</f>
        <v/>
      </c>
      <c r="AK36" s="42" t="str">
        <f>IF(AND('Mapa Riesgos'!$Z$16="Baja",'Mapa Riesgos'!$AB$16="Catastrófico"),CONCATENATE("R1C",'Mapa Riesgos'!$P$16),"")</f>
        <v/>
      </c>
      <c r="AL36" s="42" t="str">
        <f>IF(AND('Mapa Riesgos'!$Z$17="Baja",'Mapa Riesgos'!$AB$17="Catastrófico"),CONCATENATE("R1C",'Mapa Riesgos'!$P$17),"")</f>
        <v/>
      </c>
      <c r="AM36" s="43" t="str">
        <f>IF(AND('Mapa Riesgos'!$Z$18="Baja",'Mapa Riesgos'!$AB$18="Catastrófico"),CONCATENATE("R1C",'Mapa Riesgos'!$P$18),"")</f>
        <v/>
      </c>
      <c r="AN36" s="76"/>
      <c r="AO36" s="547" t="s">
        <v>78</v>
      </c>
      <c r="AP36" s="548"/>
      <c r="AQ36" s="548"/>
      <c r="AR36" s="548"/>
      <c r="AS36" s="548"/>
      <c r="AT36" s="549"/>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c r="A37" s="76"/>
      <c r="B37" s="477"/>
      <c r="C37" s="477"/>
      <c r="D37" s="478"/>
      <c r="E37" s="534"/>
      <c r="F37" s="535"/>
      <c r="G37" s="535"/>
      <c r="H37" s="535"/>
      <c r="I37" s="535"/>
      <c r="J37" s="69" t="str">
        <f ca="1">IF(AND('Mapa Riesgos'!$Z$19="Baja",'Mapa Riesgos'!$AB$19="Leve"),CONCATENATE("R2C",'Mapa Riesgos'!$P$19),"")</f>
        <v/>
      </c>
      <c r="K37" s="70" t="str">
        <f ca="1">IF(AND('Mapa Riesgos'!$Z$20="Baja",'Mapa Riesgos'!$AB$20="Leve"),CONCATENATE("R2C",'Mapa Riesgos'!$P$20),"")</f>
        <v/>
      </c>
      <c r="L37" s="70" t="str">
        <f>IF(AND('Mapa Riesgos'!$Z$21="Baja",'Mapa Riesgos'!$AB$21="Leve"),CONCATENATE("R2C",'Mapa Riesgos'!$P$21),"")</f>
        <v/>
      </c>
      <c r="M37" s="70" t="str">
        <f>IF(AND('Mapa Riesgos'!$Z$22="Baja",'Mapa Riesgos'!$AB$22="Leve"),CONCATENATE("R2C",'Mapa Riesgos'!$P$22),"")</f>
        <v/>
      </c>
      <c r="N37" s="70" t="str">
        <f>IF(AND('Mapa Riesgos'!$Z$23="Baja",'Mapa Riesgos'!$AB$23="Leve"),CONCATENATE("R2C",'Mapa Riesgos'!$P$23),"")</f>
        <v/>
      </c>
      <c r="O37" s="71" t="str">
        <f>IF(AND('Mapa Riesgos'!$Z$24="Baja",'Mapa Riesgos'!$AB$24="Leve"),CONCATENATE("R2C",'Mapa Riesgos'!$P$24),"")</f>
        <v/>
      </c>
      <c r="P37" s="60" t="str">
        <f ca="1">IF(AND('Mapa Riesgos'!$Z$19="Baja",'Mapa Riesgos'!$AB$19="Menor"),CONCATENATE("R2C",'Mapa Riesgos'!$P$19),"")</f>
        <v/>
      </c>
      <c r="Q37" s="61" t="str">
        <f ca="1">IF(AND('Mapa Riesgos'!$Z$20="Baja",'Mapa Riesgos'!$AB$20="Menor"),CONCATENATE("R2C",'Mapa Riesgos'!$P$20),"")</f>
        <v/>
      </c>
      <c r="R37" s="61" t="str">
        <f>IF(AND('Mapa Riesgos'!$Z$21="Baja",'Mapa Riesgos'!$AB$21="Menor"),CONCATENATE("R2C",'Mapa Riesgos'!$P$21),"")</f>
        <v/>
      </c>
      <c r="S37" s="61" t="str">
        <f>IF(AND('Mapa Riesgos'!$Z$22="Baja",'Mapa Riesgos'!$AB$22="Menor"),CONCATENATE("R2C",'Mapa Riesgos'!$P$22),"")</f>
        <v/>
      </c>
      <c r="T37" s="61" t="str">
        <f>IF(AND('Mapa Riesgos'!$Z$23="Baja",'Mapa Riesgos'!$AB$23="Menor"),CONCATENATE("R2C",'Mapa Riesgos'!$P$23),"")</f>
        <v/>
      </c>
      <c r="U37" s="62" t="str">
        <f>IF(AND('Mapa Riesgos'!$Z$24="Baja",'Mapa Riesgos'!$AB$24="Menor"),CONCATENATE("R2C",'Mapa Riesgos'!$P$24),"")</f>
        <v/>
      </c>
      <c r="V37" s="60" t="str">
        <f ca="1">IF(AND('Mapa Riesgos'!$Z$19="Baja",'Mapa Riesgos'!$AB$19="Moderado"),CONCATENATE("R2C",'Mapa Riesgos'!$P$19),"")</f>
        <v/>
      </c>
      <c r="W37" s="61" t="str">
        <f ca="1">IF(AND('Mapa Riesgos'!$Z$20="Baja",'Mapa Riesgos'!$AB$20="Moderado"),CONCATENATE("R2C",'Mapa Riesgos'!$P$20),"")</f>
        <v/>
      </c>
      <c r="X37" s="61" t="str">
        <f>IF(AND('Mapa Riesgos'!$Z$21="Baja",'Mapa Riesgos'!$AB$21="Moderado"),CONCATENATE("R2C",'Mapa Riesgos'!$P$21),"")</f>
        <v/>
      </c>
      <c r="Y37" s="61" t="str">
        <f>IF(AND('Mapa Riesgos'!$Z$22="Baja",'Mapa Riesgos'!$AB$22="Moderado"),CONCATENATE("R2C",'Mapa Riesgos'!$P$22),"")</f>
        <v/>
      </c>
      <c r="Z37" s="61" t="str">
        <f>IF(AND('Mapa Riesgos'!$Z$23="Baja",'Mapa Riesgos'!$AB$23="Moderado"),CONCATENATE("R2C",'Mapa Riesgos'!$P$23),"")</f>
        <v/>
      </c>
      <c r="AA37" s="62" t="str">
        <f>IF(AND('Mapa Riesgos'!$Z$24="Baja",'Mapa Riesgos'!$AB$24="Moderado"),CONCATENATE("R2C",'Mapa Riesgos'!$P$24),"")</f>
        <v/>
      </c>
      <c r="AB37" s="44" t="str">
        <f ca="1">IF(AND('Mapa Riesgos'!$Z$19="Baja",'Mapa Riesgos'!$AB$19="Mayor"),CONCATENATE("R2C",'Mapa Riesgos'!$P$19),"")</f>
        <v>R2C1</v>
      </c>
      <c r="AC37" s="45" t="str">
        <f ca="1">IF(AND('Mapa Riesgos'!$Z$20="Baja",'Mapa Riesgos'!$AB$20="Mayor"),CONCATENATE("R2C",'Mapa Riesgos'!$P$20),"")</f>
        <v/>
      </c>
      <c r="AD37" s="45" t="str">
        <f>IF(AND('Mapa Riesgos'!$Z$21="Baja",'Mapa Riesgos'!$AB$21="Mayor"),CONCATENATE("R2C",'Mapa Riesgos'!$P$21),"")</f>
        <v/>
      </c>
      <c r="AE37" s="45" t="str">
        <f>IF(AND('Mapa Riesgos'!$Z$22="Baja",'Mapa Riesgos'!$AB$22="Mayor"),CONCATENATE("R2C",'Mapa Riesgos'!$P$22),"")</f>
        <v/>
      </c>
      <c r="AF37" s="45" t="str">
        <f>IF(AND('Mapa Riesgos'!$Z$23="Baja",'Mapa Riesgos'!$AB$23="Mayor"),CONCATENATE("R2C",'Mapa Riesgos'!$P$23),"")</f>
        <v/>
      </c>
      <c r="AG37" s="46" t="str">
        <f>IF(AND('Mapa Riesgos'!$Z$24="Baja",'Mapa Riesgos'!$AB$24="Mayor"),CONCATENATE("R2C",'Mapa Riesgos'!$P$24),"")</f>
        <v/>
      </c>
      <c r="AH37" s="47" t="str">
        <f ca="1">IF(AND('Mapa Riesgos'!$Z$19="Baja",'Mapa Riesgos'!$AB$19="Catastrófico"),CONCATENATE("R2C",'Mapa Riesgos'!$P$19),"")</f>
        <v/>
      </c>
      <c r="AI37" s="48" t="str">
        <f ca="1">IF(AND('Mapa Riesgos'!$Z$20="Baja",'Mapa Riesgos'!$AB$20="Catastrófico"),CONCATENATE("R2C",'Mapa Riesgos'!$P$20),"")</f>
        <v/>
      </c>
      <c r="AJ37" s="48" t="str">
        <f>IF(AND('Mapa Riesgos'!$Z$21="Baja",'Mapa Riesgos'!$AB$21="Catastrófico"),CONCATENATE("R2C",'Mapa Riesgos'!$P$21),"")</f>
        <v/>
      </c>
      <c r="AK37" s="48" t="str">
        <f>IF(AND('Mapa Riesgos'!$Z$22="Baja",'Mapa Riesgos'!$AB$22="Catastrófico"),CONCATENATE("R2C",'Mapa Riesgos'!$P$22),"")</f>
        <v/>
      </c>
      <c r="AL37" s="48" t="str">
        <f>IF(AND('Mapa Riesgos'!$Z$23="Baja",'Mapa Riesgos'!$AB$23="Catastrófico"),CONCATENATE("R2C",'Mapa Riesgos'!$P$23),"")</f>
        <v/>
      </c>
      <c r="AM37" s="49" t="str">
        <f>IF(AND('Mapa Riesgos'!$Z$24="Baja",'Mapa Riesgos'!$AB$24="Catastrófico"),CONCATENATE("R2C",'Mapa Riesgos'!$P$24),"")</f>
        <v/>
      </c>
      <c r="AN37" s="76"/>
      <c r="AO37" s="550"/>
      <c r="AP37" s="551"/>
      <c r="AQ37" s="551"/>
      <c r="AR37" s="551"/>
      <c r="AS37" s="551"/>
      <c r="AT37" s="552"/>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c r="A38" s="76"/>
      <c r="B38" s="477"/>
      <c r="C38" s="477"/>
      <c r="D38" s="478"/>
      <c r="E38" s="518"/>
      <c r="F38" s="519"/>
      <c r="G38" s="519"/>
      <c r="H38" s="519"/>
      <c r="I38" s="535"/>
      <c r="J38" s="69" t="str">
        <f ca="1">IF(AND('Mapa Riesgos'!$Z$25="Baja",'Mapa Riesgos'!$AB$25="Leve"),CONCATENATE("R3C",'Mapa Riesgos'!$P$25),"")</f>
        <v/>
      </c>
      <c r="K38" s="70" t="str">
        <f ca="1">IF(AND('Mapa Riesgos'!$Z$26="Baja",'Mapa Riesgos'!$AB$26="Leve"),CONCATENATE("R3C",'Mapa Riesgos'!$P$26),"")</f>
        <v/>
      </c>
      <c r="L38" s="70" t="str">
        <f>IF(AND('Mapa Riesgos'!$Z$27="Baja",'Mapa Riesgos'!$AB$27="Leve"),CONCATENATE("R3C",'Mapa Riesgos'!$P$27),"")</f>
        <v/>
      </c>
      <c r="M38" s="70" t="str">
        <f>IF(AND('Mapa Riesgos'!$Z$28="Baja",'Mapa Riesgos'!$AB$28="Leve"),CONCATENATE("R3C",'Mapa Riesgos'!$P$28),"")</f>
        <v/>
      </c>
      <c r="N38" s="70" t="str">
        <f>IF(AND('Mapa Riesgos'!$Z$29="Baja",'Mapa Riesgos'!$AB$29="Leve"),CONCATENATE("R3C",'Mapa Riesgos'!$P$29),"")</f>
        <v/>
      </c>
      <c r="O38" s="71" t="str">
        <f>IF(AND('Mapa Riesgos'!$Z$30="Baja",'Mapa Riesgos'!$AB$30="Leve"),CONCATENATE("R3C",'Mapa Riesgos'!$P$30),"")</f>
        <v/>
      </c>
      <c r="P38" s="60" t="str">
        <f ca="1">IF(AND('Mapa Riesgos'!$Z$25="Baja",'Mapa Riesgos'!$AB$25="Menor"),CONCATENATE("R3C",'Mapa Riesgos'!$P$25),"")</f>
        <v/>
      </c>
      <c r="Q38" s="61" t="str">
        <f ca="1">IF(AND('Mapa Riesgos'!$Z$26="Baja",'Mapa Riesgos'!$AB$26="Menor"),CONCATENATE("R3C",'Mapa Riesgos'!$P$26),"")</f>
        <v/>
      </c>
      <c r="R38" s="61" t="str">
        <f>IF(AND('Mapa Riesgos'!$Z$27="Baja",'Mapa Riesgos'!$AB$27="Menor"),CONCATENATE("R3C",'Mapa Riesgos'!$P$27),"")</f>
        <v/>
      </c>
      <c r="S38" s="61" t="str">
        <f>IF(AND('Mapa Riesgos'!$Z$28="Baja",'Mapa Riesgos'!$AB$28="Menor"),CONCATENATE("R3C",'Mapa Riesgos'!$P$28),"")</f>
        <v/>
      </c>
      <c r="T38" s="61" t="str">
        <f>IF(AND('Mapa Riesgos'!$Z$29="Baja",'Mapa Riesgos'!$AB$29="Menor"),CONCATENATE("R3C",'Mapa Riesgos'!$P$29),"")</f>
        <v/>
      </c>
      <c r="U38" s="62" t="str">
        <f>IF(AND('Mapa Riesgos'!$Z$30="Baja",'Mapa Riesgos'!$AB$30="Menor"),CONCATENATE("R3C",'Mapa Riesgos'!$P$30),"")</f>
        <v/>
      </c>
      <c r="V38" s="60" t="str">
        <f ca="1">IF(AND('Mapa Riesgos'!$Z$25="Baja",'Mapa Riesgos'!$AB$25="Moderado"),CONCATENATE("R3C",'Mapa Riesgos'!$P$25),"")</f>
        <v/>
      </c>
      <c r="W38" s="61" t="str">
        <f ca="1">IF(AND('Mapa Riesgos'!$Z$26="Baja",'Mapa Riesgos'!$AB$26="Moderado"),CONCATENATE("R3C",'Mapa Riesgos'!$P$26),"")</f>
        <v/>
      </c>
      <c r="X38" s="61" t="str">
        <f>IF(AND('Mapa Riesgos'!$Z$27="Baja",'Mapa Riesgos'!$AB$27="Moderado"),CONCATENATE("R3C",'Mapa Riesgos'!$P$27),"")</f>
        <v/>
      </c>
      <c r="Y38" s="61" t="str">
        <f>IF(AND('Mapa Riesgos'!$Z$28="Baja",'Mapa Riesgos'!$AB$28="Moderado"),CONCATENATE("R3C",'Mapa Riesgos'!$P$28),"")</f>
        <v/>
      </c>
      <c r="Z38" s="61" t="str">
        <f>IF(AND('Mapa Riesgos'!$Z$29="Baja",'Mapa Riesgos'!$AB$29="Moderado"),CONCATENATE("R3C",'Mapa Riesgos'!$P$29),"")</f>
        <v/>
      </c>
      <c r="AA38" s="62" t="str">
        <f>IF(AND('Mapa Riesgos'!$Z$30="Baja",'Mapa Riesgos'!$AB$30="Moderado"),CONCATENATE("R3C",'Mapa Riesgos'!$P$30),"")</f>
        <v/>
      </c>
      <c r="AB38" s="44" t="str">
        <f ca="1">IF(AND('Mapa Riesgos'!$Z$25="Baja",'Mapa Riesgos'!$AB$25="Mayor"),CONCATENATE("R3C",'Mapa Riesgos'!$P$25),"")</f>
        <v>R3C1</v>
      </c>
      <c r="AC38" s="45" t="str">
        <f ca="1">IF(AND('Mapa Riesgos'!$Z$26="Baja",'Mapa Riesgos'!$AB$26="Mayor"),CONCATENATE("R3C",'Mapa Riesgos'!$P$26),"")</f>
        <v/>
      </c>
      <c r="AD38" s="45" t="str">
        <f>IF(AND('Mapa Riesgos'!$Z$27="Baja",'Mapa Riesgos'!$AB$27="Mayor"),CONCATENATE("R3C",'Mapa Riesgos'!$P$27),"")</f>
        <v/>
      </c>
      <c r="AE38" s="45" t="str">
        <f>IF(AND('Mapa Riesgos'!$Z$28="Baja",'Mapa Riesgos'!$AB$28="Mayor"),CONCATENATE("R3C",'Mapa Riesgos'!$P$28),"")</f>
        <v/>
      </c>
      <c r="AF38" s="45" t="str">
        <f>IF(AND('Mapa Riesgos'!$Z$29="Baja",'Mapa Riesgos'!$AB$29="Mayor"),CONCATENATE("R3C",'Mapa Riesgos'!$P$29),"")</f>
        <v/>
      </c>
      <c r="AG38" s="46" t="str">
        <f>IF(AND('Mapa Riesgos'!$Z$30="Baja",'Mapa Riesgos'!$AB$30="Mayor"),CONCATENATE("R3C",'Mapa Riesgos'!$P$30),"")</f>
        <v/>
      </c>
      <c r="AH38" s="47" t="str">
        <f ca="1">IF(AND('Mapa Riesgos'!$Z$25="Baja",'Mapa Riesgos'!$AB$25="Catastrófico"),CONCATENATE("R3C",'Mapa Riesgos'!$P$25),"")</f>
        <v/>
      </c>
      <c r="AI38" s="48" t="str">
        <f ca="1">IF(AND('Mapa Riesgos'!$Z$26="Baja",'Mapa Riesgos'!$AB$26="Catastrófico"),CONCATENATE("R3C",'Mapa Riesgos'!$P$26),"")</f>
        <v/>
      </c>
      <c r="AJ38" s="48" t="str">
        <f>IF(AND('Mapa Riesgos'!$Z$27="Baja",'Mapa Riesgos'!$AB$27="Catastrófico"),CONCATENATE("R3C",'Mapa Riesgos'!$P$27),"")</f>
        <v/>
      </c>
      <c r="AK38" s="48" t="str">
        <f>IF(AND('Mapa Riesgos'!$Z$28="Baja",'Mapa Riesgos'!$AB$28="Catastrófico"),CONCATENATE("R3C",'Mapa Riesgos'!$P$28),"")</f>
        <v/>
      </c>
      <c r="AL38" s="48" t="str">
        <f>IF(AND('Mapa Riesgos'!$Z$29="Baja",'Mapa Riesgos'!$AB$29="Catastrófico"),CONCATENATE("R3C",'Mapa Riesgos'!$P$29),"")</f>
        <v/>
      </c>
      <c r="AM38" s="49" t="str">
        <f>IF(AND('Mapa Riesgos'!$Z$30="Baja",'Mapa Riesgos'!$AB$30="Catastrófico"),CONCATENATE("R3C",'Mapa Riesgos'!$P$30),"")</f>
        <v/>
      </c>
      <c r="AN38" s="76"/>
      <c r="AO38" s="550"/>
      <c r="AP38" s="551"/>
      <c r="AQ38" s="551"/>
      <c r="AR38" s="551"/>
      <c r="AS38" s="551"/>
      <c r="AT38" s="552"/>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c r="A39" s="76"/>
      <c r="B39" s="477"/>
      <c r="C39" s="477"/>
      <c r="D39" s="478"/>
      <c r="E39" s="518"/>
      <c r="F39" s="519"/>
      <c r="G39" s="519"/>
      <c r="H39" s="519"/>
      <c r="I39" s="535"/>
      <c r="J39" s="69" t="str">
        <f ca="1">IF(AND('Mapa Riesgos'!$Z$31="Baja",'Mapa Riesgos'!$AB$31="Leve"),CONCATENATE("R4C",'Mapa Riesgos'!$P$31),"")</f>
        <v/>
      </c>
      <c r="K39" s="70" t="str">
        <f ca="1">IF(AND('Mapa Riesgos'!$Z$32="Baja",'Mapa Riesgos'!$AB$32="Leve"),CONCATENATE("R4C",'Mapa Riesgos'!$P$32),"")</f>
        <v/>
      </c>
      <c r="L39" s="70" t="str">
        <f>IF(AND('Mapa Riesgos'!$Z$33="Baja",'Mapa Riesgos'!$AB$33="Leve"),CONCATENATE("R4C",'Mapa Riesgos'!$P$33),"")</f>
        <v/>
      </c>
      <c r="M39" s="70" t="str">
        <f>IF(AND('Mapa Riesgos'!$Z$34="Baja",'Mapa Riesgos'!$AB$34="Leve"),CONCATENATE("R4C",'Mapa Riesgos'!$P$34),"")</f>
        <v/>
      </c>
      <c r="N39" s="70" t="str">
        <f>IF(AND('Mapa Riesgos'!$Z$35="Baja",'Mapa Riesgos'!$AB$35="Leve"),CONCATENATE("R4C",'Mapa Riesgos'!$P$35),"")</f>
        <v/>
      </c>
      <c r="O39" s="71" t="str">
        <f>IF(AND('Mapa Riesgos'!$Z$36="Baja",'Mapa Riesgos'!$AB$36="Leve"),CONCATENATE("R4C",'Mapa Riesgos'!$P$36),"")</f>
        <v/>
      </c>
      <c r="P39" s="60" t="str">
        <f ca="1">IF(AND('Mapa Riesgos'!$Z$31="Baja",'Mapa Riesgos'!$AB$31="Menor"),CONCATENATE("R4C",'Mapa Riesgos'!$P$31),"")</f>
        <v/>
      </c>
      <c r="Q39" s="61" t="str">
        <f ca="1">IF(AND('Mapa Riesgos'!$Z$32="Baja",'Mapa Riesgos'!$AB$32="Menor"),CONCATENATE("R4C",'Mapa Riesgos'!$P$32),"")</f>
        <v/>
      </c>
      <c r="R39" s="61" t="str">
        <f>IF(AND('Mapa Riesgos'!$Z$33="Baja",'Mapa Riesgos'!$AB$33="Menor"),CONCATENATE("R4C",'Mapa Riesgos'!$P$33),"")</f>
        <v/>
      </c>
      <c r="S39" s="61" t="str">
        <f>IF(AND('Mapa Riesgos'!$Z$34="Baja",'Mapa Riesgos'!$AB$34="Menor"),CONCATENATE("R4C",'Mapa Riesgos'!$P$34),"")</f>
        <v/>
      </c>
      <c r="T39" s="61" t="str">
        <f>IF(AND('Mapa Riesgos'!$Z$35="Baja",'Mapa Riesgos'!$AB$35="Menor"),CONCATENATE("R4C",'Mapa Riesgos'!$P$35),"")</f>
        <v/>
      </c>
      <c r="U39" s="62" t="str">
        <f>IF(AND('Mapa Riesgos'!$Z$36="Baja",'Mapa Riesgos'!$AB$36="Menor"),CONCATENATE("R4C",'Mapa Riesgos'!$P$36),"")</f>
        <v/>
      </c>
      <c r="V39" s="60" t="str">
        <f ca="1">IF(AND('Mapa Riesgos'!$Z$31="Baja",'Mapa Riesgos'!$AB$31="Moderado"),CONCATENATE("R4C",'Mapa Riesgos'!$P$31),"")</f>
        <v/>
      </c>
      <c r="W39" s="61" t="str">
        <f ca="1">IF(AND('Mapa Riesgos'!$Z$32="Baja",'Mapa Riesgos'!$AB$32="Moderado"),CONCATENATE("R4C",'Mapa Riesgos'!$P$32),"")</f>
        <v/>
      </c>
      <c r="X39" s="61" t="str">
        <f>IF(AND('Mapa Riesgos'!$Z$33="Baja",'Mapa Riesgos'!$AB$33="Moderado"),CONCATENATE("R4C",'Mapa Riesgos'!$P$33),"")</f>
        <v/>
      </c>
      <c r="Y39" s="61" t="str">
        <f>IF(AND('Mapa Riesgos'!$Z$34="Baja",'Mapa Riesgos'!$AB$34="Moderado"),CONCATENATE("R4C",'Mapa Riesgos'!$P$34),"")</f>
        <v/>
      </c>
      <c r="Z39" s="61" t="str">
        <f>IF(AND('Mapa Riesgos'!$Z$35="Baja",'Mapa Riesgos'!$AB$35="Moderado"),CONCATENATE("R4C",'Mapa Riesgos'!$P$35),"")</f>
        <v/>
      </c>
      <c r="AA39" s="62" t="str">
        <f>IF(AND('Mapa Riesgos'!$Z$36="Baja",'Mapa Riesgos'!$AB$36="Moderado"),CONCATENATE("R4C",'Mapa Riesgos'!$P$36),"")</f>
        <v/>
      </c>
      <c r="AB39" s="44" t="str">
        <f ca="1">IF(AND('Mapa Riesgos'!$Z$31="Baja",'Mapa Riesgos'!$AB$31="Mayor"),CONCATENATE("R4C",'Mapa Riesgos'!$P$31),"")</f>
        <v/>
      </c>
      <c r="AC39" s="45" t="str">
        <f ca="1">IF(AND('Mapa Riesgos'!$Z$32="Baja",'Mapa Riesgos'!$AB$32="Mayor"),CONCATENATE("R4C",'Mapa Riesgos'!$P$32),"")</f>
        <v/>
      </c>
      <c r="AD39" s="45" t="str">
        <f>IF(AND('Mapa Riesgos'!$Z$33="Baja",'Mapa Riesgos'!$AB$33="Mayor"),CONCATENATE("R4C",'Mapa Riesgos'!$P$33),"")</f>
        <v/>
      </c>
      <c r="AE39" s="45" t="str">
        <f>IF(AND('Mapa Riesgos'!$Z$34="Baja",'Mapa Riesgos'!$AB$34="Mayor"),CONCATENATE("R4C",'Mapa Riesgos'!$P$34),"")</f>
        <v/>
      </c>
      <c r="AF39" s="45" t="str">
        <f>IF(AND('Mapa Riesgos'!$Z$35="Baja",'Mapa Riesgos'!$AB$35="Mayor"),CONCATENATE("R4C",'Mapa Riesgos'!$P$35),"")</f>
        <v/>
      </c>
      <c r="AG39" s="46" t="str">
        <f>IF(AND('Mapa Riesgos'!$Z$36="Baja",'Mapa Riesgos'!$AB$36="Mayor"),CONCATENATE("R4C",'Mapa Riesgos'!$P$36),"")</f>
        <v/>
      </c>
      <c r="AH39" s="47" t="str">
        <f ca="1">IF(AND('Mapa Riesgos'!$Z$31="Baja",'Mapa Riesgos'!$AB$31="Catastrófico"),CONCATENATE("R4C",'Mapa Riesgos'!$P$31),"")</f>
        <v/>
      </c>
      <c r="AI39" s="48" t="str">
        <f ca="1">IF(AND('Mapa Riesgos'!$Z$32="Baja",'Mapa Riesgos'!$AB$32="Catastrófico"),CONCATENATE("R4C",'Mapa Riesgos'!$P$32),"")</f>
        <v/>
      </c>
      <c r="AJ39" s="48" t="str">
        <f>IF(AND('Mapa Riesgos'!$Z$33="Baja",'Mapa Riesgos'!$AB$33="Catastrófico"),CONCATENATE("R4C",'Mapa Riesgos'!$P$33),"")</f>
        <v/>
      </c>
      <c r="AK39" s="48" t="str">
        <f>IF(AND('Mapa Riesgos'!$Z$34="Baja",'Mapa Riesgos'!$AB$34="Catastrófico"),CONCATENATE("R4C",'Mapa Riesgos'!$P$34),"")</f>
        <v/>
      </c>
      <c r="AL39" s="48" t="str">
        <f>IF(AND('Mapa Riesgos'!$Z$35="Baja",'Mapa Riesgos'!$AB$35="Catastrófico"),CONCATENATE("R4C",'Mapa Riesgos'!$P$35),"")</f>
        <v/>
      </c>
      <c r="AM39" s="49" t="str">
        <f>IF(AND('Mapa Riesgos'!$Z$36="Baja",'Mapa Riesgos'!$AB$36="Catastrófico"),CONCATENATE("R4C",'Mapa Riesgos'!$P$36),"")</f>
        <v/>
      </c>
      <c r="AN39" s="76"/>
      <c r="AO39" s="550"/>
      <c r="AP39" s="551"/>
      <c r="AQ39" s="551"/>
      <c r="AR39" s="551"/>
      <c r="AS39" s="551"/>
      <c r="AT39" s="552"/>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c r="A40" s="76"/>
      <c r="B40" s="477"/>
      <c r="C40" s="477"/>
      <c r="D40" s="478"/>
      <c r="E40" s="518"/>
      <c r="F40" s="519"/>
      <c r="G40" s="519"/>
      <c r="H40" s="519"/>
      <c r="I40" s="535"/>
      <c r="J40" s="69" t="str">
        <f ca="1">IF(AND('Mapa Riesgos'!$Z$37="Baja",'Mapa Riesgos'!$AB$37="Leve"),CONCATENATE("R5C",'Mapa Riesgos'!$P$37),"")</f>
        <v/>
      </c>
      <c r="K40" s="70" t="str">
        <f>IF(AND('Mapa Riesgos'!$Z$38="Baja",'Mapa Riesgos'!$AB$38="Leve"),CONCATENATE("R5C",'Mapa Riesgos'!$P$38),"")</f>
        <v/>
      </c>
      <c r="L40" s="70" t="str">
        <f>IF(AND('Mapa Riesgos'!$Z$39="Baja",'Mapa Riesgos'!$AB$39="Leve"),CONCATENATE("R5C",'Mapa Riesgos'!$P$39),"")</f>
        <v/>
      </c>
      <c r="M40" s="70" t="str">
        <f>IF(AND('Mapa Riesgos'!$Z$40="Baja",'Mapa Riesgos'!$AB$40="Leve"),CONCATENATE("R5C",'Mapa Riesgos'!$P$40),"")</f>
        <v/>
      </c>
      <c r="N40" s="70" t="str">
        <f>IF(AND('Mapa Riesgos'!$Z$41="Baja",'Mapa Riesgos'!$AB$41="Leve"),CONCATENATE("R5C",'Mapa Riesgos'!$P$41),"")</f>
        <v/>
      </c>
      <c r="O40" s="71" t="str">
        <f>IF(AND('Mapa Riesgos'!$Z$42="Baja",'Mapa Riesgos'!$AB$42="Leve"),CONCATENATE("R5C",'Mapa Riesgos'!$P$42),"")</f>
        <v/>
      </c>
      <c r="P40" s="60" t="str">
        <f ca="1">IF(AND('Mapa Riesgos'!$Z$37="Baja",'Mapa Riesgos'!$AB$37="Menor"),CONCATENATE("R5C",'Mapa Riesgos'!$P$37),"")</f>
        <v/>
      </c>
      <c r="Q40" s="61" t="str">
        <f>IF(AND('Mapa Riesgos'!$Z$38="Baja",'Mapa Riesgos'!$AB$38="Menor"),CONCATENATE("R5C",'Mapa Riesgos'!$P$38),"")</f>
        <v/>
      </c>
      <c r="R40" s="61" t="str">
        <f>IF(AND('Mapa Riesgos'!$Z$39="Baja",'Mapa Riesgos'!$AB$39="Menor"),CONCATENATE("R5C",'Mapa Riesgos'!$P$39),"")</f>
        <v/>
      </c>
      <c r="S40" s="61" t="str">
        <f>IF(AND('Mapa Riesgos'!$Z$40="Baja",'Mapa Riesgos'!$AB$40="Menor"),CONCATENATE("R5C",'Mapa Riesgos'!$P$40),"")</f>
        <v/>
      </c>
      <c r="T40" s="61" t="str">
        <f>IF(AND('Mapa Riesgos'!$Z$41="Baja",'Mapa Riesgos'!$AB$41="Menor"),CONCATENATE("R5C",'Mapa Riesgos'!$P$41),"")</f>
        <v/>
      </c>
      <c r="U40" s="62" t="str">
        <f>IF(AND('Mapa Riesgos'!$Z$42="Baja",'Mapa Riesgos'!$AB$42="Menor"),CONCATENATE("R5C",'Mapa Riesgos'!$P$42),"")</f>
        <v/>
      </c>
      <c r="V40" s="60" t="str">
        <f ca="1">IF(AND('Mapa Riesgos'!$Z$37="Baja",'Mapa Riesgos'!$AB$37="Moderado"),CONCATENATE("R5C",'Mapa Riesgos'!$P$37),"")</f>
        <v/>
      </c>
      <c r="W40" s="61" t="str">
        <f>IF(AND('Mapa Riesgos'!$Z$38="Baja",'Mapa Riesgos'!$AB$38="Moderado"),CONCATENATE("R5C",'Mapa Riesgos'!$P$38),"")</f>
        <v/>
      </c>
      <c r="X40" s="61" t="str">
        <f>IF(AND('Mapa Riesgos'!$Z$39="Baja",'Mapa Riesgos'!$AB$39="Moderado"),CONCATENATE("R5C",'Mapa Riesgos'!$P$39),"")</f>
        <v/>
      </c>
      <c r="Y40" s="61" t="str">
        <f>IF(AND('Mapa Riesgos'!$Z$40="Baja",'Mapa Riesgos'!$AB$40="Moderado"),CONCATENATE("R5C",'Mapa Riesgos'!$P$40),"")</f>
        <v/>
      </c>
      <c r="Z40" s="61" t="str">
        <f>IF(AND('Mapa Riesgos'!$Z$41="Baja",'Mapa Riesgos'!$AB$41="Moderado"),CONCATENATE("R5C",'Mapa Riesgos'!$P$41),"")</f>
        <v/>
      </c>
      <c r="AA40" s="62" t="str">
        <f>IF(AND('Mapa Riesgos'!$Z$42="Baja",'Mapa Riesgos'!$AB$42="Moderado"),CONCATENATE("R5C",'Mapa Riesgos'!$P$42),"")</f>
        <v/>
      </c>
      <c r="AB40" s="44" t="str">
        <f ca="1">IF(AND('Mapa Riesgos'!$Z$37="Baja",'Mapa Riesgos'!$AB$37="Mayor"),CONCATENATE("R5C",'Mapa Riesgos'!$P$37),"")</f>
        <v>R5C1</v>
      </c>
      <c r="AC40" s="45" t="str">
        <f>IF(AND('Mapa Riesgos'!$Z$38="Baja",'Mapa Riesgos'!$AB$38="Mayor"),CONCATENATE("R5C",'Mapa Riesgos'!$P$38),"")</f>
        <v/>
      </c>
      <c r="AD40" s="50" t="str">
        <f>IF(AND('Mapa Riesgos'!$Z$39="Baja",'Mapa Riesgos'!$AB$39="Mayor"),CONCATENATE("R5C",'Mapa Riesgos'!$P$39),"")</f>
        <v/>
      </c>
      <c r="AE40" s="50" t="str">
        <f>IF(AND('Mapa Riesgos'!$Z$40="Baja",'Mapa Riesgos'!$AB$40="Mayor"),CONCATENATE("R5C",'Mapa Riesgos'!$P$40),"")</f>
        <v/>
      </c>
      <c r="AF40" s="50" t="str">
        <f>IF(AND('Mapa Riesgos'!$Z$41="Baja",'Mapa Riesgos'!$AB$41="Mayor"),CONCATENATE("R5C",'Mapa Riesgos'!$P$41),"")</f>
        <v/>
      </c>
      <c r="AG40" s="46" t="str">
        <f>IF(AND('Mapa Riesgos'!$Z$42="Baja",'Mapa Riesgos'!$AB$42="Mayor"),CONCATENATE("R5C",'Mapa Riesgos'!$P$42),"")</f>
        <v/>
      </c>
      <c r="AH40" s="47" t="str">
        <f ca="1">IF(AND('Mapa Riesgos'!$Z$37="Baja",'Mapa Riesgos'!$AB$37="Catastrófico"),CONCATENATE("R5C",'Mapa Riesgos'!$P$37),"")</f>
        <v/>
      </c>
      <c r="AI40" s="48" t="str">
        <f>IF(AND('Mapa Riesgos'!$Z$38="Baja",'Mapa Riesgos'!$AB$38="Catastrófico"),CONCATENATE("R5C",'Mapa Riesgos'!$P$38),"")</f>
        <v/>
      </c>
      <c r="AJ40" s="48" t="str">
        <f>IF(AND('Mapa Riesgos'!$Z$39="Baja",'Mapa Riesgos'!$AB$39="Catastrófico"),CONCATENATE("R5C",'Mapa Riesgos'!$P$39),"")</f>
        <v/>
      </c>
      <c r="AK40" s="48" t="str">
        <f>IF(AND('Mapa Riesgos'!$Z$40="Baja",'Mapa Riesgos'!$AB$40="Catastrófico"),CONCATENATE("R5C",'Mapa Riesgos'!$P$40),"")</f>
        <v/>
      </c>
      <c r="AL40" s="48" t="str">
        <f>IF(AND('Mapa Riesgos'!$Z$41="Baja",'Mapa Riesgos'!$AB$41="Catastrófico"),CONCATENATE("R5C",'Mapa Riesgos'!$P$41),"")</f>
        <v/>
      </c>
      <c r="AM40" s="49" t="str">
        <f>IF(AND('Mapa Riesgos'!$Z$42="Baja",'Mapa Riesgos'!$AB$42="Catastrófico"),CONCATENATE("R5C",'Mapa Riesgos'!$P$42),"")</f>
        <v/>
      </c>
      <c r="AN40" s="76"/>
      <c r="AO40" s="550"/>
      <c r="AP40" s="551"/>
      <c r="AQ40" s="551"/>
      <c r="AR40" s="551"/>
      <c r="AS40" s="551"/>
      <c r="AT40" s="552"/>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c r="A41" s="76"/>
      <c r="B41" s="477"/>
      <c r="C41" s="477"/>
      <c r="D41" s="478"/>
      <c r="E41" s="518"/>
      <c r="F41" s="519"/>
      <c r="G41" s="519"/>
      <c r="H41" s="519"/>
      <c r="I41" s="535"/>
      <c r="J41" s="69" t="str">
        <f ca="1">IF(AND('Mapa Riesgos'!$Z$43="Baja",'Mapa Riesgos'!$AB$43="Leve"),CONCATENATE("R6C",'Mapa Riesgos'!$P$43),"")</f>
        <v/>
      </c>
      <c r="K41" s="70" t="str">
        <f ca="1">IF(AND('Mapa Riesgos'!$Z$44="Baja",'Mapa Riesgos'!$AB$44="Leve"),CONCATENATE("R6C",'Mapa Riesgos'!$P$44),"")</f>
        <v/>
      </c>
      <c r="L41" s="70" t="str">
        <f ca="1">IF(AND('Mapa Riesgos'!$Z$45="Baja",'Mapa Riesgos'!$AB$45="Leve"),CONCATENATE("R6C",'Mapa Riesgos'!$P$45),"")</f>
        <v/>
      </c>
      <c r="M41" s="70" t="str">
        <f>IF(AND('Mapa Riesgos'!$Z$46="Baja",'Mapa Riesgos'!$AB$46="Leve"),CONCATENATE("R6C",'Mapa Riesgos'!$P$46),"")</f>
        <v/>
      </c>
      <c r="N41" s="70" t="str">
        <f>IF(AND('Mapa Riesgos'!$Z$47="Baja",'Mapa Riesgos'!$AB$47="Leve"),CONCATENATE("R6C",'Mapa Riesgos'!$P$47),"")</f>
        <v/>
      </c>
      <c r="O41" s="71" t="str">
        <f>IF(AND('Mapa Riesgos'!$Z$48="Baja",'Mapa Riesgos'!$AB$48="Leve"),CONCATENATE("R6C",'Mapa Riesgos'!$P$48),"")</f>
        <v/>
      </c>
      <c r="P41" s="60" t="str">
        <f ca="1">IF(AND('Mapa Riesgos'!$Z$43="Baja",'Mapa Riesgos'!$AB$43="Menor"),CONCATENATE("R6C",'Mapa Riesgos'!$P$43),"")</f>
        <v/>
      </c>
      <c r="Q41" s="61" t="str">
        <f ca="1">IF(AND('Mapa Riesgos'!$Z$44="Baja",'Mapa Riesgos'!$AB$44="Menor"),CONCATENATE("R6C",'Mapa Riesgos'!$P$44),"")</f>
        <v/>
      </c>
      <c r="R41" s="61" t="str">
        <f ca="1">IF(AND('Mapa Riesgos'!$Z$45="Baja",'Mapa Riesgos'!$AB$45="Menor"),CONCATENATE("R6C",'Mapa Riesgos'!$P$45),"")</f>
        <v/>
      </c>
      <c r="S41" s="61" t="str">
        <f>IF(AND('Mapa Riesgos'!$Z$46="Baja",'Mapa Riesgos'!$AB$46="Menor"),CONCATENATE("R6C",'Mapa Riesgos'!$P$46),"")</f>
        <v/>
      </c>
      <c r="T41" s="61" t="str">
        <f>IF(AND('Mapa Riesgos'!$Z$47="Baja",'Mapa Riesgos'!$AB$47="Menor"),CONCATENATE("R6C",'Mapa Riesgos'!$P$47),"")</f>
        <v/>
      </c>
      <c r="U41" s="62" t="str">
        <f>IF(AND('Mapa Riesgos'!$Z$48="Baja",'Mapa Riesgos'!$AB$48="Menor"),CONCATENATE("R6C",'Mapa Riesgos'!$P$48),"")</f>
        <v/>
      </c>
      <c r="V41" s="60" t="str">
        <f ca="1">IF(AND('Mapa Riesgos'!$Z$43="Baja",'Mapa Riesgos'!$AB$43="Moderado"),CONCATENATE("R6C",'Mapa Riesgos'!$P$43),"")</f>
        <v>R6C1</v>
      </c>
      <c r="W41" s="61" t="str">
        <f ca="1">IF(AND('Mapa Riesgos'!$Z$44="Baja",'Mapa Riesgos'!$AB$44="Moderado"),CONCATENATE("R6C",'Mapa Riesgos'!$P$44),"")</f>
        <v/>
      </c>
      <c r="X41" s="61" t="str">
        <f ca="1">IF(AND('Mapa Riesgos'!$Z$45="Baja",'Mapa Riesgos'!$AB$45="Moderado"),CONCATENATE("R6C",'Mapa Riesgos'!$P$45),"")</f>
        <v/>
      </c>
      <c r="Y41" s="61" t="str">
        <f>IF(AND('Mapa Riesgos'!$Z$46="Baja",'Mapa Riesgos'!$AB$46="Moderado"),CONCATENATE("R6C",'Mapa Riesgos'!$P$46),"")</f>
        <v/>
      </c>
      <c r="Z41" s="61" t="str">
        <f>IF(AND('Mapa Riesgos'!$Z$47="Baja",'Mapa Riesgos'!$AB$47="Moderado"),CONCATENATE("R6C",'Mapa Riesgos'!$P$47),"")</f>
        <v/>
      </c>
      <c r="AA41" s="62" t="str">
        <f>IF(AND('Mapa Riesgos'!$Z$48="Baja",'Mapa Riesgos'!$AB$48="Moderado"),CONCATENATE("R6C",'Mapa Riesgos'!$P$48),"")</f>
        <v/>
      </c>
      <c r="AB41" s="44" t="str">
        <f ca="1">IF(AND('Mapa Riesgos'!$Z$43="Baja",'Mapa Riesgos'!$AB$43="Mayor"),CONCATENATE("R6C",'Mapa Riesgos'!$P$43),"")</f>
        <v/>
      </c>
      <c r="AC41" s="45" t="str">
        <f ca="1">IF(AND('Mapa Riesgos'!$Z$44="Baja",'Mapa Riesgos'!$AB$44="Mayor"),CONCATENATE("R6C",'Mapa Riesgos'!$P$44),"")</f>
        <v/>
      </c>
      <c r="AD41" s="50" t="str">
        <f ca="1">IF(AND('Mapa Riesgos'!$Z$45="Baja",'Mapa Riesgos'!$AB$45="Mayor"),CONCATENATE("R6C",'Mapa Riesgos'!$P$45),"")</f>
        <v/>
      </c>
      <c r="AE41" s="50" t="str">
        <f>IF(AND('Mapa Riesgos'!$Z$46="Baja",'Mapa Riesgos'!$AB$46="Mayor"),CONCATENATE("R6C",'Mapa Riesgos'!$P$46),"")</f>
        <v/>
      </c>
      <c r="AF41" s="50" t="str">
        <f>IF(AND('Mapa Riesgos'!$Z$47="Baja",'Mapa Riesgos'!$AB$47="Mayor"),CONCATENATE("R6C",'Mapa Riesgos'!$P$47),"")</f>
        <v/>
      </c>
      <c r="AG41" s="46" t="str">
        <f>IF(AND('Mapa Riesgos'!$Z$48="Baja",'Mapa Riesgos'!$AB$48="Mayor"),CONCATENATE("R6C",'Mapa Riesgos'!$P$48),"")</f>
        <v/>
      </c>
      <c r="AH41" s="47" t="str">
        <f ca="1">IF(AND('Mapa Riesgos'!$Z$43="Baja",'Mapa Riesgos'!$AB$43="Catastrófico"),CONCATENATE("R6C",'Mapa Riesgos'!$P$43),"")</f>
        <v/>
      </c>
      <c r="AI41" s="48" t="str">
        <f ca="1">IF(AND('Mapa Riesgos'!$Z$44="Baja",'Mapa Riesgos'!$AB$44="Catastrófico"),CONCATENATE("R6C",'Mapa Riesgos'!$P$44),"")</f>
        <v/>
      </c>
      <c r="AJ41" s="48" t="str">
        <f ca="1">IF(AND('Mapa Riesgos'!$Z$45="Baja",'Mapa Riesgos'!$AB$45="Catastrófico"),CONCATENATE("R6C",'Mapa Riesgos'!$P$45),"")</f>
        <v/>
      </c>
      <c r="AK41" s="48" t="str">
        <f>IF(AND('Mapa Riesgos'!$Z$46="Baja",'Mapa Riesgos'!$AB$46="Catastrófico"),CONCATENATE("R6C",'Mapa Riesgos'!$P$46),"")</f>
        <v/>
      </c>
      <c r="AL41" s="48" t="str">
        <f>IF(AND('Mapa Riesgos'!$Z$47="Baja",'Mapa Riesgos'!$AB$47="Catastrófico"),CONCATENATE("R6C",'Mapa Riesgos'!$P$47),"")</f>
        <v/>
      </c>
      <c r="AM41" s="49" t="str">
        <f>IF(AND('Mapa Riesgos'!$Z$48="Baja",'Mapa Riesgos'!$AB$48="Catastrófico"),CONCATENATE("R6C",'Mapa Riesgos'!$P$48),"")</f>
        <v/>
      </c>
      <c r="AN41" s="76"/>
      <c r="AO41" s="550"/>
      <c r="AP41" s="551"/>
      <c r="AQ41" s="551"/>
      <c r="AR41" s="551"/>
      <c r="AS41" s="551"/>
      <c r="AT41" s="552"/>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c r="A42" s="76"/>
      <c r="B42" s="477"/>
      <c r="C42" s="477"/>
      <c r="D42" s="478"/>
      <c r="E42" s="518"/>
      <c r="F42" s="519"/>
      <c r="G42" s="519"/>
      <c r="H42" s="519"/>
      <c r="I42" s="535"/>
      <c r="J42" s="69" t="str">
        <f ca="1">IF(AND('Mapa Riesgos'!$Z$49="Baja",'Mapa Riesgos'!$AB$49="Leve"),CONCATENATE("R7C",'Mapa Riesgos'!$P$49),"")</f>
        <v/>
      </c>
      <c r="K42" s="70" t="str">
        <f>IF(AND('Mapa Riesgos'!$Z$50="Baja",'Mapa Riesgos'!$AB$50="Leve"),CONCATENATE("R7C",'Mapa Riesgos'!$P$50),"")</f>
        <v/>
      </c>
      <c r="L42" s="70" t="str">
        <f>IF(AND('Mapa Riesgos'!$Z$51="Baja",'Mapa Riesgos'!$AB$51="Leve"),CONCATENATE("R7C",'Mapa Riesgos'!$P$51),"")</f>
        <v/>
      </c>
      <c r="M42" s="70" t="str">
        <f>IF(AND('Mapa Riesgos'!$Z$52="Baja",'Mapa Riesgos'!$AB$52="Leve"),CONCATENATE("R7C",'Mapa Riesgos'!$P$52),"")</f>
        <v/>
      </c>
      <c r="N42" s="70" t="str">
        <f>IF(AND('Mapa Riesgos'!$Z$53="Baja",'Mapa Riesgos'!$AB$53="Leve"),CONCATENATE("R7C",'Mapa Riesgos'!$P$53),"")</f>
        <v/>
      </c>
      <c r="O42" s="71" t="str">
        <f>IF(AND('Mapa Riesgos'!$Z$54="Baja",'Mapa Riesgos'!$AB$54="Leve"),CONCATENATE("R7C",'Mapa Riesgos'!$P$54),"")</f>
        <v/>
      </c>
      <c r="P42" s="60" t="str">
        <f ca="1">IF(AND('Mapa Riesgos'!$Z$49="Baja",'Mapa Riesgos'!$AB$49="Menor"),CONCATENATE("R7C",'Mapa Riesgos'!$P$49),"")</f>
        <v/>
      </c>
      <c r="Q42" s="61" t="str">
        <f>IF(AND('Mapa Riesgos'!$Z$50="Baja",'Mapa Riesgos'!$AB$50="Menor"),CONCATENATE("R7C",'Mapa Riesgos'!$P$50),"")</f>
        <v/>
      </c>
      <c r="R42" s="61" t="str">
        <f>IF(AND('Mapa Riesgos'!$Z$51="Baja",'Mapa Riesgos'!$AB$51="Menor"),CONCATENATE("R7C",'Mapa Riesgos'!$P$51),"")</f>
        <v/>
      </c>
      <c r="S42" s="61" t="str">
        <f>IF(AND('Mapa Riesgos'!$Z$52="Baja",'Mapa Riesgos'!$AB$52="Menor"),CONCATENATE("R7C",'Mapa Riesgos'!$P$52),"")</f>
        <v/>
      </c>
      <c r="T42" s="61" t="str">
        <f>IF(AND('Mapa Riesgos'!$Z$53="Baja",'Mapa Riesgos'!$AB$53="Menor"),CONCATENATE("R7C",'Mapa Riesgos'!$P$53),"")</f>
        <v/>
      </c>
      <c r="U42" s="62" t="str">
        <f>IF(AND('Mapa Riesgos'!$Z$54="Baja",'Mapa Riesgos'!$AB$54="Menor"),CONCATENATE("R7C",'Mapa Riesgos'!$P$54),"")</f>
        <v/>
      </c>
      <c r="V42" s="60" t="str">
        <f ca="1">IF(AND('Mapa Riesgos'!$Z$49="Baja",'Mapa Riesgos'!$AB$49="Moderado"),CONCATENATE("R7C",'Mapa Riesgos'!$P$49),"")</f>
        <v>R7C1</v>
      </c>
      <c r="W42" s="61" t="str">
        <f>IF(AND('Mapa Riesgos'!$Z$50="Baja",'Mapa Riesgos'!$AB$50="Moderado"),CONCATENATE("R7C",'Mapa Riesgos'!$P$50),"")</f>
        <v/>
      </c>
      <c r="X42" s="61" t="str">
        <f>IF(AND('Mapa Riesgos'!$Z$51="Baja",'Mapa Riesgos'!$AB$51="Moderado"),CONCATENATE("R7C",'Mapa Riesgos'!$P$51),"")</f>
        <v/>
      </c>
      <c r="Y42" s="61" t="str">
        <f>IF(AND('Mapa Riesgos'!$Z$52="Baja",'Mapa Riesgos'!$AB$52="Moderado"),CONCATENATE("R7C",'Mapa Riesgos'!$P$52),"")</f>
        <v/>
      </c>
      <c r="Z42" s="61" t="str">
        <f>IF(AND('Mapa Riesgos'!$Z$53="Baja",'Mapa Riesgos'!$AB$53="Moderado"),CONCATENATE("R7C",'Mapa Riesgos'!$P$53),"")</f>
        <v/>
      </c>
      <c r="AA42" s="62" t="str">
        <f>IF(AND('Mapa Riesgos'!$Z$54="Baja",'Mapa Riesgos'!$AB$54="Moderado"),CONCATENATE("R7C",'Mapa Riesgos'!$P$54),"")</f>
        <v/>
      </c>
      <c r="AB42" s="44" t="str">
        <f ca="1">IF(AND('Mapa Riesgos'!$Z$49="Baja",'Mapa Riesgos'!$AB$49="Mayor"),CONCATENATE("R7C",'Mapa Riesgos'!$P$49),"")</f>
        <v/>
      </c>
      <c r="AC42" s="45" t="str">
        <f>IF(AND('Mapa Riesgos'!$Z$50="Baja",'Mapa Riesgos'!$AB$50="Mayor"),CONCATENATE("R7C",'Mapa Riesgos'!$P$50),"")</f>
        <v/>
      </c>
      <c r="AD42" s="50" t="str">
        <f>IF(AND('Mapa Riesgos'!$Z$51="Baja",'Mapa Riesgos'!$AB$51="Mayor"),CONCATENATE("R7C",'Mapa Riesgos'!$P$51),"")</f>
        <v/>
      </c>
      <c r="AE42" s="50" t="str">
        <f>IF(AND('Mapa Riesgos'!$Z$52="Baja",'Mapa Riesgos'!$AB$52="Mayor"),CONCATENATE("R7C",'Mapa Riesgos'!$P$52),"")</f>
        <v/>
      </c>
      <c r="AF42" s="50" t="str">
        <f>IF(AND('Mapa Riesgos'!$Z$53="Baja",'Mapa Riesgos'!$AB$53="Mayor"),CONCATENATE("R7C",'Mapa Riesgos'!$P$53),"")</f>
        <v/>
      </c>
      <c r="AG42" s="46" t="str">
        <f>IF(AND('Mapa Riesgos'!$Z$54="Baja",'Mapa Riesgos'!$AB$54="Mayor"),CONCATENATE("R7C",'Mapa Riesgos'!$P$54),"")</f>
        <v/>
      </c>
      <c r="AH42" s="47" t="str">
        <f ca="1">IF(AND('Mapa Riesgos'!$Z$49="Baja",'Mapa Riesgos'!$AB$49="Catastrófico"),CONCATENATE("R7C",'Mapa Riesgos'!$P$49),"")</f>
        <v/>
      </c>
      <c r="AI42" s="48" t="str">
        <f>IF(AND('Mapa Riesgos'!$Z$50="Baja",'Mapa Riesgos'!$AB$50="Catastrófico"),CONCATENATE("R7C",'Mapa Riesgos'!$P$50),"")</f>
        <v/>
      </c>
      <c r="AJ42" s="48" t="str">
        <f>IF(AND('Mapa Riesgos'!$Z$51="Baja",'Mapa Riesgos'!$AB$51="Catastrófico"),CONCATENATE("R7C",'Mapa Riesgos'!$P$51),"")</f>
        <v/>
      </c>
      <c r="AK42" s="48" t="str">
        <f>IF(AND('Mapa Riesgos'!$Z$52="Baja",'Mapa Riesgos'!$AB$52="Catastrófico"),CONCATENATE("R7C",'Mapa Riesgos'!$P$52),"")</f>
        <v/>
      </c>
      <c r="AL42" s="48" t="str">
        <f>IF(AND('Mapa Riesgos'!$Z$53="Baja",'Mapa Riesgos'!$AB$53="Catastrófico"),CONCATENATE("R7C",'Mapa Riesgos'!$P$53),"")</f>
        <v/>
      </c>
      <c r="AM42" s="49" t="str">
        <f>IF(AND('Mapa Riesgos'!$Z$54="Baja",'Mapa Riesgos'!$AB$54="Catastrófico"),CONCATENATE("R7C",'Mapa Riesgos'!$P$54),"")</f>
        <v/>
      </c>
      <c r="AN42" s="76"/>
      <c r="AO42" s="550"/>
      <c r="AP42" s="551"/>
      <c r="AQ42" s="551"/>
      <c r="AR42" s="551"/>
      <c r="AS42" s="551"/>
      <c r="AT42" s="552"/>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c r="A43" s="76"/>
      <c r="B43" s="477"/>
      <c r="C43" s="477"/>
      <c r="D43" s="478"/>
      <c r="E43" s="518"/>
      <c r="F43" s="519"/>
      <c r="G43" s="519"/>
      <c r="H43" s="519"/>
      <c r="I43" s="535"/>
      <c r="J43" s="69" t="str">
        <f ca="1">IF(AND('Mapa Riesgos'!$Z$55="Baja",'Mapa Riesgos'!$AB$55="Leve"),CONCATENATE("R8C",'Mapa Riesgos'!$P$55),"")</f>
        <v/>
      </c>
      <c r="K43" s="70" t="str">
        <f ca="1">IF(AND('Mapa Riesgos'!$Z$56="Baja",'Mapa Riesgos'!$AB$56="Leve"),CONCATENATE("R8C",'Mapa Riesgos'!$P$56),"")</f>
        <v/>
      </c>
      <c r="L43" s="70" t="str">
        <f>IF(AND('Mapa Riesgos'!$Z$57="Baja",'Mapa Riesgos'!$AB$57="Leve"),CONCATENATE("R8C",'Mapa Riesgos'!$P$57),"")</f>
        <v/>
      </c>
      <c r="M43" s="70" t="str">
        <f>IF(AND('Mapa Riesgos'!$Z$58="Baja",'Mapa Riesgos'!$AB$58="Leve"),CONCATENATE("R8C",'Mapa Riesgos'!$P$58),"")</f>
        <v/>
      </c>
      <c r="N43" s="70" t="str">
        <f>IF(AND('Mapa Riesgos'!$Z$59="Baja",'Mapa Riesgos'!$AB$59="Leve"),CONCATENATE("R8C",'Mapa Riesgos'!$P$59),"")</f>
        <v/>
      </c>
      <c r="O43" s="71" t="str">
        <f>IF(AND('Mapa Riesgos'!$Z$60="Baja",'Mapa Riesgos'!$AB$60="Leve"),CONCATENATE("R8C",'Mapa Riesgos'!$P$60),"")</f>
        <v/>
      </c>
      <c r="P43" s="60" t="str">
        <f ca="1">IF(AND('Mapa Riesgos'!$Z$55="Baja",'Mapa Riesgos'!$AB$55="Menor"),CONCATENATE("R8C",'Mapa Riesgos'!$P$55),"")</f>
        <v/>
      </c>
      <c r="Q43" s="61" t="str">
        <f ca="1">IF(AND('Mapa Riesgos'!$Z$56="Baja",'Mapa Riesgos'!$AB$56="Menor"),CONCATENATE("R8C",'Mapa Riesgos'!$P$56),"")</f>
        <v/>
      </c>
      <c r="R43" s="61" t="str">
        <f>IF(AND('Mapa Riesgos'!$Z$57="Baja",'Mapa Riesgos'!$AB$57="Menor"),CONCATENATE("R8C",'Mapa Riesgos'!$P$57),"")</f>
        <v/>
      </c>
      <c r="S43" s="61" t="str">
        <f>IF(AND('Mapa Riesgos'!$Z$58="Baja",'Mapa Riesgos'!$AB$58="Menor"),CONCATENATE("R8C",'Mapa Riesgos'!$P$58),"")</f>
        <v/>
      </c>
      <c r="T43" s="61" t="str">
        <f>IF(AND('Mapa Riesgos'!$Z$59="Baja",'Mapa Riesgos'!$AB$59="Menor"),CONCATENATE("R8C",'Mapa Riesgos'!$P$59),"")</f>
        <v/>
      </c>
      <c r="U43" s="62" t="str">
        <f>IF(AND('Mapa Riesgos'!$Z$60="Baja",'Mapa Riesgos'!$AB$60="Menor"),CONCATENATE("R8C",'Mapa Riesgos'!$P$60),"")</f>
        <v/>
      </c>
      <c r="V43" s="60" t="str">
        <f ca="1">IF(AND('Mapa Riesgos'!$Z$55="Baja",'Mapa Riesgos'!$AB$55="Moderado"),CONCATENATE("R8C",'Mapa Riesgos'!$P$55),"")</f>
        <v/>
      </c>
      <c r="W43" s="61" t="str">
        <f ca="1">IF(AND('Mapa Riesgos'!$Z$56="Baja",'Mapa Riesgos'!$AB$56="Moderado"),CONCATENATE("R8C",'Mapa Riesgos'!$P$56),"")</f>
        <v/>
      </c>
      <c r="X43" s="61" t="str">
        <f>IF(AND('Mapa Riesgos'!$Z$57="Baja",'Mapa Riesgos'!$AB$57="Moderado"),CONCATENATE("R8C",'Mapa Riesgos'!$P$57),"")</f>
        <v/>
      </c>
      <c r="Y43" s="61" t="str">
        <f>IF(AND('Mapa Riesgos'!$Z$58="Baja",'Mapa Riesgos'!$AB$58="Moderado"),CONCATENATE("R8C",'Mapa Riesgos'!$P$58),"")</f>
        <v/>
      </c>
      <c r="Z43" s="61" t="str">
        <f>IF(AND('Mapa Riesgos'!$Z$59="Baja",'Mapa Riesgos'!$AB$59="Moderado"),CONCATENATE("R8C",'Mapa Riesgos'!$P$59),"")</f>
        <v/>
      </c>
      <c r="AA43" s="62" t="str">
        <f>IF(AND('Mapa Riesgos'!$Z$60="Baja",'Mapa Riesgos'!$AB$60="Moderado"),CONCATENATE("R8C",'Mapa Riesgos'!$P$60),"")</f>
        <v/>
      </c>
      <c r="AB43" s="44" t="str">
        <f ca="1">IF(AND('Mapa Riesgos'!$Z$55="Baja",'Mapa Riesgos'!$AB$55="Mayor"),CONCATENATE("R8C",'Mapa Riesgos'!$P$55),"")</f>
        <v/>
      </c>
      <c r="AC43" s="45" t="str">
        <f ca="1">IF(AND('Mapa Riesgos'!$Z$56="Baja",'Mapa Riesgos'!$AB$56="Mayor"),CONCATENATE("R8C",'Mapa Riesgos'!$P$56),"")</f>
        <v/>
      </c>
      <c r="AD43" s="50" t="str">
        <f>IF(AND('Mapa Riesgos'!$Z$57="Baja",'Mapa Riesgos'!$AB$57="Mayor"),CONCATENATE("R8C",'Mapa Riesgos'!$P$57),"")</f>
        <v/>
      </c>
      <c r="AE43" s="50" t="str">
        <f>IF(AND('Mapa Riesgos'!$Z$58="Baja",'Mapa Riesgos'!$AB$58="Mayor"),CONCATENATE("R8C",'Mapa Riesgos'!$P$58),"")</f>
        <v/>
      </c>
      <c r="AF43" s="50" t="str">
        <f>IF(AND('Mapa Riesgos'!$Z$59="Baja",'Mapa Riesgos'!$AB$59="Mayor"),CONCATENATE("R8C",'Mapa Riesgos'!$P$59),"")</f>
        <v/>
      </c>
      <c r="AG43" s="46" t="str">
        <f>IF(AND('Mapa Riesgos'!$Z$60="Baja",'Mapa Riesgos'!$AB$60="Mayor"),CONCATENATE("R8C",'Mapa Riesgos'!$P$60),"")</f>
        <v/>
      </c>
      <c r="AH43" s="47" t="str">
        <f ca="1">IF(AND('Mapa Riesgos'!$Z$55="Baja",'Mapa Riesgos'!$AB$55="Catastrófico"),CONCATENATE("R8C",'Mapa Riesgos'!$P$55),"")</f>
        <v/>
      </c>
      <c r="AI43" s="48" t="str">
        <f ca="1">IF(AND('Mapa Riesgos'!$Z$56="Baja",'Mapa Riesgos'!$AB$56="Catastrófico"),CONCATENATE("R8C",'Mapa Riesgos'!$P$56),"")</f>
        <v/>
      </c>
      <c r="AJ43" s="48" t="str">
        <f>IF(AND('Mapa Riesgos'!$Z$57="Baja",'Mapa Riesgos'!$AB$57="Catastrófico"),CONCATENATE("R8C",'Mapa Riesgos'!$P$57),"")</f>
        <v/>
      </c>
      <c r="AK43" s="48" t="str">
        <f>IF(AND('Mapa Riesgos'!$Z$58="Baja",'Mapa Riesgos'!$AB$58="Catastrófico"),CONCATENATE("R8C",'Mapa Riesgos'!$P$58),"")</f>
        <v/>
      </c>
      <c r="AL43" s="48" t="str">
        <f>IF(AND('Mapa Riesgos'!$Z$59="Baja",'Mapa Riesgos'!$AB$59="Catastrófico"),CONCATENATE("R8C",'Mapa Riesgos'!$P$59),"")</f>
        <v/>
      </c>
      <c r="AM43" s="49" t="str">
        <f>IF(AND('Mapa Riesgos'!$Z$60="Baja",'Mapa Riesgos'!$AB$60="Catastrófico"),CONCATENATE("R8C",'Mapa Riesgos'!$P$60),"")</f>
        <v/>
      </c>
      <c r="AN43" s="76"/>
      <c r="AO43" s="550"/>
      <c r="AP43" s="551"/>
      <c r="AQ43" s="551"/>
      <c r="AR43" s="551"/>
      <c r="AS43" s="551"/>
      <c r="AT43" s="552"/>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c r="A44" s="76"/>
      <c r="B44" s="477"/>
      <c r="C44" s="477"/>
      <c r="D44" s="478"/>
      <c r="E44" s="518"/>
      <c r="F44" s="519"/>
      <c r="G44" s="519"/>
      <c r="H44" s="519"/>
      <c r="I44" s="535"/>
      <c r="J44" s="69" t="str">
        <f ca="1">IF(AND('Mapa Riesgos'!$Z$61="Baja",'Mapa Riesgos'!$AB$61="Leve"),CONCATENATE("R9C",'Mapa Riesgos'!$P$61),"")</f>
        <v/>
      </c>
      <c r="K44" s="70" t="str">
        <f ca="1">IF(AND('Mapa Riesgos'!$Z$62="Baja",'Mapa Riesgos'!$AB$62="Leve"),CONCATENATE("R9C",'Mapa Riesgos'!$P$62),"")</f>
        <v/>
      </c>
      <c r="L44" s="70" t="str">
        <f>IF(AND('Mapa Riesgos'!$Z$63="Baja",'Mapa Riesgos'!$AB$63="Leve"),CONCATENATE("R9C",'Mapa Riesgos'!$P$63),"")</f>
        <v/>
      </c>
      <c r="M44" s="70" t="str">
        <f>IF(AND('Mapa Riesgos'!$Z$64="Baja",'Mapa Riesgos'!$AB$64="Leve"),CONCATENATE("R9C",'Mapa Riesgos'!$P$64),"")</f>
        <v/>
      </c>
      <c r="N44" s="70" t="str">
        <f>IF(AND('Mapa Riesgos'!$Z$65="Baja",'Mapa Riesgos'!$AB$65="Leve"),CONCATENATE("R9C",'Mapa Riesgos'!$P$65),"")</f>
        <v/>
      </c>
      <c r="O44" s="71" t="str">
        <f>IF(AND('Mapa Riesgos'!$Z$66="Baja",'Mapa Riesgos'!$AB$66="Leve"),CONCATENATE("R9C",'Mapa Riesgos'!$P$66),"")</f>
        <v/>
      </c>
      <c r="P44" s="60" t="str">
        <f ca="1">IF(AND('Mapa Riesgos'!$Z$61="Baja",'Mapa Riesgos'!$AB$61="Menor"),CONCATENATE("R9C",'Mapa Riesgos'!$P$61),"")</f>
        <v/>
      </c>
      <c r="Q44" s="61" t="str">
        <f ca="1">IF(AND('Mapa Riesgos'!$Z$62="Baja",'Mapa Riesgos'!$AB$62="Menor"),CONCATENATE("R9C",'Mapa Riesgos'!$P$62),"")</f>
        <v/>
      </c>
      <c r="R44" s="61" t="str">
        <f>IF(AND('Mapa Riesgos'!$Z$63="Baja",'Mapa Riesgos'!$AB$63="Menor"),CONCATENATE("R9C",'Mapa Riesgos'!$P$63),"")</f>
        <v/>
      </c>
      <c r="S44" s="61" t="str">
        <f>IF(AND('Mapa Riesgos'!$Z$64="Baja",'Mapa Riesgos'!$AB$64="Menor"),CONCATENATE("R9C",'Mapa Riesgos'!$P$64),"")</f>
        <v/>
      </c>
      <c r="T44" s="61" t="str">
        <f>IF(AND('Mapa Riesgos'!$Z$65="Baja",'Mapa Riesgos'!$AB$65="Menor"),CONCATENATE("R9C",'Mapa Riesgos'!$P$65),"")</f>
        <v/>
      </c>
      <c r="U44" s="62" t="str">
        <f>IF(AND('Mapa Riesgos'!$Z$66="Baja",'Mapa Riesgos'!$AB$66="Menor"),CONCATENATE("R9C",'Mapa Riesgos'!$P$66),"")</f>
        <v/>
      </c>
      <c r="V44" s="60" t="str">
        <f ca="1">IF(AND('Mapa Riesgos'!$Z$61="Baja",'Mapa Riesgos'!$AB$61="Moderado"),CONCATENATE("R9C",'Mapa Riesgos'!$P$61),"")</f>
        <v/>
      </c>
      <c r="W44" s="61" t="str">
        <f ca="1">IF(AND('Mapa Riesgos'!$Z$62="Baja",'Mapa Riesgos'!$AB$62="Moderado"),CONCATENATE("R9C",'Mapa Riesgos'!$P$62),"")</f>
        <v/>
      </c>
      <c r="X44" s="61" t="str">
        <f>IF(AND('Mapa Riesgos'!$Z$63="Baja",'Mapa Riesgos'!$AB$63="Moderado"),CONCATENATE("R9C",'Mapa Riesgos'!$P$63),"")</f>
        <v/>
      </c>
      <c r="Y44" s="61" t="str">
        <f>IF(AND('Mapa Riesgos'!$Z$64="Baja",'Mapa Riesgos'!$AB$64="Moderado"),CONCATENATE("R9C",'Mapa Riesgos'!$P$64),"")</f>
        <v/>
      </c>
      <c r="Z44" s="61" t="str">
        <f>IF(AND('Mapa Riesgos'!$Z$65="Baja",'Mapa Riesgos'!$AB$65="Moderado"),CONCATENATE("R9C",'Mapa Riesgos'!$P$65),"")</f>
        <v/>
      </c>
      <c r="AA44" s="62" t="str">
        <f>IF(AND('Mapa Riesgos'!$Z$66="Baja",'Mapa Riesgos'!$AB$66="Moderado"),CONCATENATE("R9C",'Mapa Riesgos'!$P$66),"")</f>
        <v/>
      </c>
      <c r="AB44" s="44" t="str">
        <f ca="1">IF(AND('Mapa Riesgos'!$Z$61="Baja",'Mapa Riesgos'!$AB$61="Mayor"),CONCATENATE("R9C",'Mapa Riesgos'!$P$61),"")</f>
        <v/>
      </c>
      <c r="AC44" s="45" t="str">
        <f ca="1">IF(AND('Mapa Riesgos'!$Z$62="Baja",'Mapa Riesgos'!$AB$62="Mayor"),CONCATENATE("R9C",'Mapa Riesgos'!$P$62),"")</f>
        <v/>
      </c>
      <c r="AD44" s="50" t="str">
        <f>IF(AND('Mapa Riesgos'!$Z$63="Baja",'Mapa Riesgos'!$AB$63="Mayor"),CONCATENATE("R9C",'Mapa Riesgos'!$P$63),"")</f>
        <v/>
      </c>
      <c r="AE44" s="50" t="str">
        <f>IF(AND('Mapa Riesgos'!$Z$64="Baja",'Mapa Riesgos'!$AB$64="Mayor"),CONCATENATE("R9C",'Mapa Riesgos'!$P$64),"")</f>
        <v/>
      </c>
      <c r="AF44" s="50" t="str">
        <f>IF(AND('Mapa Riesgos'!$Z$65="Baja",'Mapa Riesgos'!$AB$65="Mayor"),CONCATENATE("R9C",'Mapa Riesgos'!$P$65),"")</f>
        <v/>
      </c>
      <c r="AG44" s="46" t="str">
        <f>IF(AND('Mapa Riesgos'!$Z$66="Baja",'Mapa Riesgos'!$AB$66="Mayor"),CONCATENATE("R9C",'Mapa Riesgos'!$P$66),"")</f>
        <v/>
      </c>
      <c r="AH44" s="47" t="str">
        <f ca="1">IF(AND('Mapa Riesgos'!$Z$61="Baja",'Mapa Riesgos'!$AB$61="Catastrófico"),CONCATENATE("R9C",'Mapa Riesgos'!$P$61),"")</f>
        <v/>
      </c>
      <c r="AI44" s="48" t="str">
        <f ca="1">IF(AND('Mapa Riesgos'!$Z$62="Baja",'Mapa Riesgos'!$AB$62="Catastrófico"),CONCATENATE("R9C",'Mapa Riesgos'!$P$62),"")</f>
        <v/>
      </c>
      <c r="AJ44" s="48" t="str">
        <f>IF(AND('Mapa Riesgos'!$Z$63="Baja",'Mapa Riesgos'!$AB$63="Catastrófico"),CONCATENATE("R9C",'Mapa Riesgos'!$P$63),"")</f>
        <v/>
      </c>
      <c r="AK44" s="48" t="str">
        <f>IF(AND('Mapa Riesgos'!$Z$64="Baja",'Mapa Riesgos'!$AB$64="Catastrófico"),CONCATENATE("R9C",'Mapa Riesgos'!$P$64),"")</f>
        <v/>
      </c>
      <c r="AL44" s="48" t="str">
        <f>IF(AND('Mapa Riesgos'!$Z$65="Baja",'Mapa Riesgos'!$AB$65="Catastrófico"),CONCATENATE("R9C",'Mapa Riesgos'!$P$65),"")</f>
        <v/>
      </c>
      <c r="AM44" s="49" t="str">
        <f>IF(AND('Mapa Riesgos'!$Z$66="Baja",'Mapa Riesgos'!$AB$66="Catastrófico"),CONCATENATE("R9C",'Mapa Riesgos'!$P$66),"")</f>
        <v/>
      </c>
      <c r="AN44" s="76"/>
      <c r="AO44" s="550"/>
      <c r="AP44" s="551"/>
      <c r="AQ44" s="551"/>
      <c r="AR44" s="551"/>
      <c r="AS44" s="551"/>
      <c r="AT44" s="552"/>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c r="A45" s="76"/>
      <c r="B45" s="477"/>
      <c r="C45" s="477"/>
      <c r="D45" s="478"/>
      <c r="E45" s="521"/>
      <c r="F45" s="522"/>
      <c r="G45" s="522"/>
      <c r="H45" s="522"/>
      <c r="I45" s="522"/>
      <c r="J45" s="72" t="str">
        <f>IF(AND('Mapa Riesgos'!$Z$67="Baja",'Mapa Riesgos'!$AB$67="Leve"),CONCATENATE("R10C",'Mapa Riesgos'!$P$67),"")</f>
        <v/>
      </c>
      <c r="K45" s="73" t="str">
        <f>IF(AND('Mapa Riesgos'!$Z$68="Baja",'Mapa Riesgos'!$AB$68="Leve"),CONCATENATE("R10C",'Mapa Riesgos'!$P$68),"")</f>
        <v/>
      </c>
      <c r="L45" s="73" t="str">
        <f>IF(AND('Mapa Riesgos'!$Z$69="Baja",'Mapa Riesgos'!$AB$69="Leve"),CONCATENATE("R10C",'Mapa Riesgos'!$P$69),"")</f>
        <v/>
      </c>
      <c r="M45" s="73" t="str">
        <f>IF(AND('Mapa Riesgos'!$Z$70="Baja",'Mapa Riesgos'!$AB$70="Leve"),CONCATENATE("R10C",'Mapa Riesgos'!$P$70),"")</f>
        <v/>
      </c>
      <c r="N45" s="73" t="str">
        <f>IF(AND('Mapa Riesgos'!$Z$71="Baja",'Mapa Riesgos'!$AB$71="Leve"),CONCATENATE("R10C",'Mapa Riesgos'!$P$71),"")</f>
        <v/>
      </c>
      <c r="O45" s="74" t="str">
        <f>IF(AND('Mapa Riesgos'!$Z$72="Baja",'Mapa Riesgos'!$AB$72="Leve"),CONCATENATE("R10C",'Mapa Riesgos'!$P$72),"")</f>
        <v/>
      </c>
      <c r="P45" s="60" t="str">
        <f>IF(AND('Mapa Riesgos'!$Z$67="Baja",'Mapa Riesgos'!$AB$67="Menor"),CONCATENATE("R10C",'Mapa Riesgos'!$P$67),"")</f>
        <v/>
      </c>
      <c r="Q45" s="61" t="str">
        <f>IF(AND('Mapa Riesgos'!$Z$68="Baja",'Mapa Riesgos'!$AB$68="Menor"),CONCATENATE("R10C",'Mapa Riesgos'!$P$68),"")</f>
        <v/>
      </c>
      <c r="R45" s="61" t="str">
        <f>IF(AND('Mapa Riesgos'!$Z$69="Baja",'Mapa Riesgos'!$AB$69="Menor"),CONCATENATE("R10C",'Mapa Riesgos'!$P$69),"")</f>
        <v/>
      </c>
      <c r="S45" s="61" t="str">
        <f>IF(AND('Mapa Riesgos'!$Z$70="Baja",'Mapa Riesgos'!$AB$70="Menor"),CONCATENATE("R10C",'Mapa Riesgos'!$P$70),"")</f>
        <v/>
      </c>
      <c r="T45" s="61" t="str">
        <f>IF(AND('Mapa Riesgos'!$Z$71="Baja",'Mapa Riesgos'!$AB$71="Menor"),CONCATENATE("R10C",'Mapa Riesgos'!$P$71),"")</f>
        <v/>
      </c>
      <c r="U45" s="62" t="str">
        <f>IF(AND('Mapa Riesgos'!$Z$72="Baja",'Mapa Riesgos'!$AB$72="Menor"),CONCATENATE("R10C",'Mapa Riesgos'!$P$72),"")</f>
        <v/>
      </c>
      <c r="V45" s="63" t="str">
        <f>IF(AND('Mapa Riesgos'!$Z$67="Baja",'Mapa Riesgos'!$AB$67="Moderado"),CONCATENATE("R10C",'Mapa Riesgos'!$P$67),"")</f>
        <v/>
      </c>
      <c r="W45" s="64" t="str">
        <f>IF(AND('Mapa Riesgos'!$Z$68="Baja",'Mapa Riesgos'!$AB$68="Moderado"),CONCATENATE("R10C",'Mapa Riesgos'!$P$68),"")</f>
        <v>R10C2</v>
      </c>
      <c r="X45" s="64" t="str">
        <f>IF(AND('Mapa Riesgos'!$Z$69="Baja",'Mapa Riesgos'!$AB$69="Moderado"),CONCATENATE("R10C",'Mapa Riesgos'!$P$69),"")</f>
        <v>R10C3</v>
      </c>
      <c r="Y45" s="64" t="str">
        <f>IF(AND('Mapa Riesgos'!$Z$70="Baja",'Mapa Riesgos'!$AB$70="Moderado"),CONCATENATE("R10C",'Mapa Riesgos'!$P$70),"")</f>
        <v/>
      </c>
      <c r="Z45" s="64" t="str">
        <f>IF(AND('Mapa Riesgos'!$Z$71="Baja",'Mapa Riesgos'!$AB$71="Moderado"),CONCATENATE("R10C",'Mapa Riesgos'!$P$71),"")</f>
        <v/>
      </c>
      <c r="AA45" s="65" t="str">
        <f>IF(AND('Mapa Riesgos'!$Z$72="Baja",'Mapa Riesgos'!$AB$72="Moderado"),CONCATENATE("R10C",'Mapa Riesgos'!$P$72),"")</f>
        <v/>
      </c>
      <c r="AB45" s="51" t="str">
        <f>IF(AND('Mapa Riesgos'!$Z$67="Baja",'Mapa Riesgos'!$AB$67="Mayor"),CONCATENATE("R10C",'Mapa Riesgos'!$P$67),"")</f>
        <v/>
      </c>
      <c r="AC45" s="52" t="str">
        <f>IF(AND('Mapa Riesgos'!$Z$68="Baja",'Mapa Riesgos'!$AB$68="Mayor"),CONCATENATE("R10C",'Mapa Riesgos'!$P$68),"")</f>
        <v/>
      </c>
      <c r="AD45" s="52" t="str">
        <f>IF(AND('Mapa Riesgos'!$Z$69="Baja",'Mapa Riesgos'!$AB$69="Mayor"),CONCATENATE("R10C",'Mapa Riesgos'!$P$69),"")</f>
        <v/>
      </c>
      <c r="AE45" s="52" t="str">
        <f>IF(AND('Mapa Riesgos'!$Z$70="Baja",'Mapa Riesgos'!$AB$70="Mayor"),CONCATENATE("R10C",'Mapa Riesgos'!$P$70),"")</f>
        <v/>
      </c>
      <c r="AF45" s="52" t="str">
        <f>IF(AND('Mapa Riesgos'!$Z$71="Baja",'Mapa Riesgos'!$AB$71="Mayor"),CONCATENATE("R10C",'Mapa Riesgos'!$P$71),"")</f>
        <v/>
      </c>
      <c r="AG45" s="53" t="str">
        <f>IF(AND('Mapa Riesgos'!$Z$72="Baja",'Mapa Riesgos'!$AB$72="Mayor"),CONCATENATE("R10C",'Mapa Riesgos'!$P$72),"")</f>
        <v/>
      </c>
      <c r="AH45" s="54" t="str">
        <f>IF(AND('Mapa Riesgos'!$Z$67="Baja",'Mapa Riesgos'!$AB$67="Catastrófico"),CONCATENATE("R10C",'Mapa Riesgos'!$P$67),"")</f>
        <v/>
      </c>
      <c r="AI45" s="55" t="str">
        <f>IF(AND('Mapa Riesgos'!$Z$68="Baja",'Mapa Riesgos'!$AB$68="Catastrófico"),CONCATENATE("R10C",'Mapa Riesgos'!$P$68),"")</f>
        <v/>
      </c>
      <c r="AJ45" s="55" t="str">
        <f>IF(AND('Mapa Riesgos'!$Z$69="Baja",'Mapa Riesgos'!$AB$69="Catastrófico"),CONCATENATE("R10C",'Mapa Riesgos'!$P$69),"")</f>
        <v/>
      </c>
      <c r="AK45" s="55" t="str">
        <f>IF(AND('Mapa Riesgos'!$Z$70="Baja",'Mapa Riesgos'!$AB$70="Catastrófico"),CONCATENATE("R10C",'Mapa Riesgos'!$P$70),"")</f>
        <v/>
      </c>
      <c r="AL45" s="55" t="str">
        <f>IF(AND('Mapa Riesgos'!$Z$71="Baja",'Mapa Riesgos'!$AB$71="Catastrófico"),CONCATENATE("R10C",'Mapa Riesgos'!$P$71),"")</f>
        <v/>
      </c>
      <c r="AM45" s="56" t="str">
        <f>IF(AND('Mapa Riesgos'!$Z$72="Baja",'Mapa Riesgos'!$AB$72="Catastrófico"),CONCATENATE("R10C",'Mapa Riesgos'!$P$72),"")</f>
        <v/>
      </c>
      <c r="AN45" s="76"/>
      <c r="AO45" s="553"/>
      <c r="AP45" s="554"/>
      <c r="AQ45" s="554"/>
      <c r="AR45" s="554"/>
      <c r="AS45" s="554"/>
      <c r="AT45" s="555"/>
    </row>
    <row r="46" spans="1:80" ht="46.5" customHeight="1">
      <c r="A46" s="76"/>
      <c r="B46" s="477"/>
      <c r="C46" s="477"/>
      <c r="D46" s="478"/>
      <c r="E46" s="515" t="s">
        <v>105</v>
      </c>
      <c r="F46" s="516"/>
      <c r="G46" s="516"/>
      <c r="H46" s="516"/>
      <c r="I46" s="517"/>
      <c r="J46" s="66" t="str">
        <f ca="1">IF(AND('Mapa Riesgos'!$Z$13="Muy Baja",'Mapa Riesgos'!$AB$13="Leve"),CONCATENATE("R1C",'Mapa Riesgos'!$P$13),"")</f>
        <v/>
      </c>
      <c r="K46" s="67" t="str">
        <f>IF(AND('Mapa Riesgos'!$Z$14="Muy Baja",'Mapa Riesgos'!$AB$14="Leve"),CONCATENATE("R1C",'Mapa Riesgos'!$P$14),"")</f>
        <v/>
      </c>
      <c r="L46" s="67" t="str">
        <f>IF(AND('Mapa Riesgos'!$Z$15="Muy Baja",'Mapa Riesgos'!$AB$15="Leve"),CONCATENATE("R1C",'Mapa Riesgos'!$P$15),"")</f>
        <v/>
      </c>
      <c r="M46" s="67" t="str">
        <f>IF(AND('Mapa Riesgos'!$Z$16="Muy Baja",'Mapa Riesgos'!$AB$16="Leve"),CONCATENATE("R1C",'Mapa Riesgos'!$P$16),"")</f>
        <v/>
      </c>
      <c r="N46" s="67" t="str">
        <f>IF(AND('Mapa Riesgos'!$Z$17="Muy Baja",'Mapa Riesgos'!$AB$17="Leve"),CONCATENATE("R1C",'Mapa Riesgos'!$P$17),"")</f>
        <v/>
      </c>
      <c r="O46" s="68" t="str">
        <f>IF(AND('Mapa Riesgos'!$Z$18="Muy Baja",'Mapa Riesgos'!$AB$18="Leve"),CONCATENATE("R1C",'Mapa Riesgos'!$P$18),"")</f>
        <v/>
      </c>
      <c r="P46" s="66" t="str">
        <f ca="1">IF(AND('Mapa Riesgos'!$Z$13="Muy Baja",'Mapa Riesgos'!$AB$13="Menor"),CONCATENATE("R1C",'Mapa Riesgos'!$P$13),"")</f>
        <v/>
      </c>
      <c r="Q46" s="67" t="str">
        <f>IF(AND('Mapa Riesgos'!$Z$14="Muy Baja",'Mapa Riesgos'!$AB$14="Menor"),CONCATENATE("R1C",'Mapa Riesgos'!$P$14),"")</f>
        <v/>
      </c>
      <c r="R46" s="67" t="str">
        <f>IF(AND('Mapa Riesgos'!$Z$15="Muy Baja",'Mapa Riesgos'!$AB$15="Menor"),CONCATENATE("R1C",'Mapa Riesgos'!$P$15),"")</f>
        <v/>
      </c>
      <c r="S46" s="67" t="str">
        <f>IF(AND('Mapa Riesgos'!$Z$16="Muy Baja",'Mapa Riesgos'!$AB$16="Menor"),CONCATENATE("R1C",'Mapa Riesgos'!$P$16),"")</f>
        <v/>
      </c>
      <c r="T46" s="67" t="str">
        <f>IF(AND('Mapa Riesgos'!$Z$17="Muy Baja",'Mapa Riesgos'!$AB$17="Menor"),CONCATENATE("R1C",'Mapa Riesgos'!$P$17),"")</f>
        <v/>
      </c>
      <c r="U46" s="68" t="str">
        <f>IF(AND('Mapa Riesgos'!$Z$18="Muy Baja",'Mapa Riesgos'!$AB$18="Menor"),CONCATENATE("R1C",'Mapa Riesgos'!$P$18),"")</f>
        <v/>
      </c>
      <c r="V46" s="57" t="str">
        <f ca="1">IF(AND('Mapa Riesgos'!$Z$13="Muy Baja",'Mapa Riesgos'!$AB$13="Moderado"),CONCATENATE("R1C",'Mapa Riesgos'!$P$13),"")</f>
        <v/>
      </c>
      <c r="W46" s="75" t="str">
        <f>IF(AND('Mapa Riesgos'!$Z$14="Muy Baja",'Mapa Riesgos'!$AB$14="Moderado"),CONCATENATE("R1C",'Mapa Riesgos'!$P$14),"")</f>
        <v/>
      </c>
      <c r="X46" s="58" t="str">
        <f>IF(AND('Mapa Riesgos'!$Z$15="Muy Baja",'Mapa Riesgos'!$AB$15="Moderado"),CONCATENATE("R1C",'Mapa Riesgos'!$P$15),"")</f>
        <v/>
      </c>
      <c r="Y46" s="58" t="str">
        <f>IF(AND('Mapa Riesgos'!$Z$16="Muy Baja",'Mapa Riesgos'!$AB$16="Moderado"),CONCATENATE("R1C",'Mapa Riesgos'!$P$16),"")</f>
        <v/>
      </c>
      <c r="Z46" s="58" t="str">
        <f>IF(AND('Mapa Riesgos'!$Z$17="Muy Baja",'Mapa Riesgos'!$AB$17="Moderado"),CONCATENATE("R1C",'Mapa Riesgos'!$P$17),"")</f>
        <v/>
      </c>
      <c r="AA46" s="59" t="str">
        <f>IF(AND('Mapa Riesgos'!$Z$18="Muy Baja",'Mapa Riesgos'!$AB$18="Moderado"),CONCATENATE("R1C",'Mapa Riesgos'!$P$18),"")</f>
        <v/>
      </c>
      <c r="AB46" s="38" t="str">
        <f ca="1">IF(AND('Mapa Riesgos'!$Z$13="Muy Baja",'Mapa Riesgos'!$AB$13="Mayor"),CONCATENATE("R1C",'Mapa Riesgos'!$P$13),"")</f>
        <v/>
      </c>
      <c r="AC46" s="39" t="str">
        <f>IF(AND('Mapa Riesgos'!$Z$14="Muy Baja",'Mapa Riesgos'!$AB$14="Mayor"),CONCATENATE("R1C",'Mapa Riesgos'!$P$14),"")</f>
        <v/>
      </c>
      <c r="AD46" s="39" t="str">
        <f>IF(AND('Mapa Riesgos'!$Z$15="Muy Baja",'Mapa Riesgos'!$AB$15="Mayor"),CONCATENATE("R1C",'Mapa Riesgos'!$P$15),"")</f>
        <v/>
      </c>
      <c r="AE46" s="39" t="str">
        <f>IF(AND('Mapa Riesgos'!$Z$16="Muy Baja",'Mapa Riesgos'!$AB$16="Mayor"),CONCATENATE("R1C",'Mapa Riesgos'!$P$16),"")</f>
        <v/>
      </c>
      <c r="AF46" s="39" t="str">
        <f>IF(AND('Mapa Riesgos'!$Z$17="Muy Baja",'Mapa Riesgos'!$AB$17="Mayor"),CONCATENATE("R1C",'Mapa Riesgos'!$P$17),"")</f>
        <v/>
      </c>
      <c r="AG46" s="40" t="str">
        <f>IF(AND('Mapa Riesgos'!$Z$18="Muy Baja",'Mapa Riesgos'!$AB$18="Mayor"),CONCATENATE("R1C",'Mapa Riesgos'!$P$18),"")</f>
        <v/>
      </c>
      <c r="AH46" s="41" t="str">
        <f ca="1">IF(AND('Mapa Riesgos'!$Z$13="Muy Baja",'Mapa Riesgos'!$AB$13="Catastrófico"),CONCATENATE("R1C",'Mapa Riesgos'!$P$13),"")</f>
        <v/>
      </c>
      <c r="AI46" s="42" t="str">
        <f>IF(AND('Mapa Riesgos'!$Z$14="Muy Baja",'Mapa Riesgos'!$AB$14="Catastrófico"),CONCATENATE("R1C",'Mapa Riesgos'!$P$14),"")</f>
        <v/>
      </c>
      <c r="AJ46" s="42" t="str">
        <f>IF(AND('Mapa Riesgos'!$Z$15="Muy Baja",'Mapa Riesgos'!$AB$15="Catastrófico"),CONCATENATE("R1C",'Mapa Riesgos'!$P$15),"")</f>
        <v/>
      </c>
      <c r="AK46" s="42" t="str">
        <f>IF(AND('Mapa Riesgos'!$Z$16="Muy Baja",'Mapa Riesgos'!$AB$16="Catastrófico"),CONCATENATE("R1C",'Mapa Riesgos'!$P$16),"")</f>
        <v/>
      </c>
      <c r="AL46" s="42" t="str">
        <f>IF(AND('Mapa Riesgos'!$Z$17="Muy Baja",'Mapa Riesgos'!$AB$17="Catastrófico"),CONCATENATE("R1C",'Mapa Riesgos'!$P$17),"")</f>
        <v/>
      </c>
      <c r="AM46" s="43" t="str">
        <f>IF(AND('Mapa Riesgos'!$Z$18="Muy Baja",'Mapa Riesgos'!$AB$18="Catastrófico"),CONCATENATE("R1C",'Mapa Riesgos'!$P$18),"")</f>
        <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c r="A47" s="76"/>
      <c r="B47" s="477"/>
      <c r="C47" s="477"/>
      <c r="D47" s="478"/>
      <c r="E47" s="534"/>
      <c r="F47" s="535"/>
      <c r="G47" s="535"/>
      <c r="H47" s="535"/>
      <c r="I47" s="520"/>
      <c r="J47" s="69" t="str">
        <f ca="1">IF(AND('Mapa Riesgos'!$Z$19="Muy Baja",'Mapa Riesgos'!$AB$19="Leve"),CONCATENATE("R2C",'Mapa Riesgos'!$P$19),"")</f>
        <v/>
      </c>
      <c r="K47" s="70" t="str">
        <f ca="1">IF(AND('Mapa Riesgos'!$Z$20="Muy Baja",'Mapa Riesgos'!$AB$20="Leve"),CONCATENATE("R2C",'Mapa Riesgos'!$P$20),"")</f>
        <v/>
      </c>
      <c r="L47" s="70" t="str">
        <f>IF(AND('Mapa Riesgos'!$Z$21="Muy Baja",'Mapa Riesgos'!$AB$21="Leve"),CONCATENATE("R2C",'Mapa Riesgos'!$P$21),"")</f>
        <v/>
      </c>
      <c r="M47" s="70" t="str">
        <f>IF(AND('Mapa Riesgos'!$Z$22="Muy Baja",'Mapa Riesgos'!$AB$22="Leve"),CONCATENATE("R2C",'Mapa Riesgos'!$P$22),"")</f>
        <v/>
      </c>
      <c r="N47" s="70" t="str">
        <f>IF(AND('Mapa Riesgos'!$Z$23="Muy Baja",'Mapa Riesgos'!$AB$23="Leve"),CONCATENATE("R2C",'Mapa Riesgos'!$P$23),"")</f>
        <v/>
      </c>
      <c r="O47" s="71" t="str">
        <f>IF(AND('Mapa Riesgos'!$Z$24="Muy Baja",'Mapa Riesgos'!$AB$24="Leve"),CONCATENATE("R2C",'Mapa Riesgos'!$P$24),"")</f>
        <v/>
      </c>
      <c r="P47" s="69" t="str">
        <f ca="1">IF(AND('Mapa Riesgos'!$Z$19="Muy Baja",'Mapa Riesgos'!$AB$19="Menor"),CONCATENATE("R2C",'Mapa Riesgos'!$P$19),"")</f>
        <v/>
      </c>
      <c r="Q47" s="70" t="str">
        <f ca="1">IF(AND('Mapa Riesgos'!$Z$20="Muy Baja",'Mapa Riesgos'!$AB$20="Menor"),CONCATENATE("R2C",'Mapa Riesgos'!$P$20),"")</f>
        <v/>
      </c>
      <c r="R47" s="70" t="str">
        <f>IF(AND('Mapa Riesgos'!$Z$21="Muy Baja",'Mapa Riesgos'!$AB$21="Menor"),CONCATENATE("R2C",'Mapa Riesgos'!$P$21),"")</f>
        <v/>
      </c>
      <c r="S47" s="70" t="str">
        <f>IF(AND('Mapa Riesgos'!$Z$22="Muy Baja",'Mapa Riesgos'!$AB$22="Menor"),CONCATENATE("R2C",'Mapa Riesgos'!$P$22),"")</f>
        <v/>
      </c>
      <c r="T47" s="70" t="str">
        <f>IF(AND('Mapa Riesgos'!$Z$23="Muy Baja",'Mapa Riesgos'!$AB$23="Menor"),CONCATENATE("R2C",'Mapa Riesgos'!$P$23),"")</f>
        <v/>
      </c>
      <c r="U47" s="71" t="str">
        <f>IF(AND('Mapa Riesgos'!$Z$24="Muy Baja",'Mapa Riesgos'!$AB$24="Menor"),CONCATENATE("R2C",'Mapa Riesgos'!$P$24),"")</f>
        <v/>
      </c>
      <c r="V47" s="60" t="str">
        <f ca="1">IF(AND('Mapa Riesgos'!$Z$19="Muy Baja",'Mapa Riesgos'!$AB$19="Moderado"),CONCATENATE("R2C",'Mapa Riesgos'!$P$19),"")</f>
        <v/>
      </c>
      <c r="W47" s="61" t="str">
        <f ca="1">IF(AND('Mapa Riesgos'!$Z$20="Muy Baja",'Mapa Riesgos'!$AB$20="Moderado"),CONCATENATE("R2C",'Mapa Riesgos'!$P$20),"")</f>
        <v/>
      </c>
      <c r="X47" s="61" t="str">
        <f>IF(AND('Mapa Riesgos'!$Z$21="Muy Baja",'Mapa Riesgos'!$AB$21="Moderado"),CONCATENATE("R2C",'Mapa Riesgos'!$P$21),"")</f>
        <v/>
      </c>
      <c r="Y47" s="61" t="str">
        <f>IF(AND('Mapa Riesgos'!$Z$22="Muy Baja",'Mapa Riesgos'!$AB$22="Moderado"),CONCATENATE("R2C",'Mapa Riesgos'!$P$22),"")</f>
        <v/>
      </c>
      <c r="Z47" s="61" t="str">
        <f>IF(AND('Mapa Riesgos'!$Z$23="Muy Baja",'Mapa Riesgos'!$AB$23="Moderado"),CONCATENATE("R2C",'Mapa Riesgos'!$P$23),"")</f>
        <v/>
      </c>
      <c r="AA47" s="62" t="str">
        <f>IF(AND('Mapa Riesgos'!$Z$24="Muy Baja",'Mapa Riesgos'!$AB$24="Moderado"),CONCATENATE("R2C",'Mapa Riesgos'!$P$24),"")</f>
        <v/>
      </c>
      <c r="AB47" s="44" t="str">
        <f ca="1">IF(AND('Mapa Riesgos'!$Z$19="Muy Baja",'Mapa Riesgos'!$AB$19="Mayor"),CONCATENATE("R2C",'Mapa Riesgos'!$P$19),"")</f>
        <v/>
      </c>
      <c r="AC47" s="45" t="str">
        <f ca="1">IF(AND('Mapa Riesgos'!$Z$20="Muy Baja",'Mapa Riesgos'!$AB$20="Mayor"),CONCATENATE("R2C",'Mapa Riesgos'!$P$20),"")</f>
        <v>R2C2</v>
      </c>
      <c r="AD47" s="45" t="str">
        <f>IF(AND('Mapa Riesgos'!$Z$21="Muy Baja",'Mapa Riesgos'!$AB$21="Mayor"),CONCATENATE("R2C",'Mapa Riesgos'!$P$21),"")</f>
        <v/>
      </c>
      <c r="AE47" s="45" t="str">
        <f>IF(AND('Mapa Riesgos'!$Z$22="Muy Baja",'Mapa Riesgos'!$AB$22="Mayor"),CONCATENATE("R2C",'Mapa Riesgos'!$P$22),"")</f>
        <v/>
      </c>
      <c r="AF47" s="45" t="str">
        <f>IF(AND('Mapa Riesgos'!$Z$23="Muy Baja",'Mapa Riesgos'!$AB$23="Mayor"),CONCATENATE("R2C",'Mapa Riesgos'!$P$23),"")</f>
        <v/>
      </c>
      <c r="AG47" s="46" t="str">
        <f>IF(AND('Mapa Riesgos'!$Z$24="Muy Baja",'Mapa Riesgos'!$AB$24="Mayor"),CONCATENATE("R2C",'Mapa Riesgos'!$P$24),"")</f>
        <v/>
      </c>
      <c r="AH47" s="47" t="str">
        <f ca="1">IF(AND('Mapa Riesgos'!$Z$19="Muy Baja",'Mapa Riesgos'!$AB$19="Catastrófico"),CONCATENATE("R2C",'Mapa Riesgos'!$P$19),"")</f>
        <v/>
      </c>
      <c r="AI47" s="48" t="str">
        <f ca="1">IF(AND('Mapa Riesgos'!$Z$20="Muy Baja",'Mapa Riesgos'!$AB$20="Catastrófico"),CONCATENATE("R2C",'Mapa Riesgos'!$P$20),"")</f>
        <v/>
      </c>
      <c r="AJ47" s="48" t="str">
        <f>IF(AND('Mapa Riesgos'!$Z$21="Muy Baja",'Mapa Riesgos'!$AB$21="Catastrófico"),CONCATENATE("R2C",'Mapa Riesgos'!$P$21),"")</f>
        <v/>
      </c>
      <c r="AK47" s="48" t="str">
        <f>IF(AND('Mapa Riesgos'!$Z$22="Muy Baja",'Mapa Riesgos'!$AB$22="Catastrófico"),CONCATENATE("R2C",'Mapa Riesgos'!$P$22),"")</f>
        <v/>
      </c>
      <c r="AL47" s="48" t="str">
        <f>IF(AND('Mapa Riesgos'!$Z$23="Muy Baja",'Mapa Riesgos'!$AB$23="Catastrófico"),CONCATENATE("R2C",'Mapa Riesgos'!$P$23),"")</f>
        <v/>
      </c>
      <c r="AM47" s="49" t="str">
        <f>IF(AND('Mapa Riesgos'!$Z$24="Muy Baja",'Mapa Riesgos'!$AB$24="Catastrófico"),CONCATENATE("R2C",'Mapa Riesgos'!$P$24),"")</f>
        <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c r="A48" s="76"/>
      <c r="B48" s="477"/>
      <c r="C48" s="477"/>
      <c r="D48" s="478"/>
      <c r="E48" s="534"/>
      <c r="F48" s="535"/>
      <c r="G48" s="535"/>
      <c r="H48" s="535"/>
      <c r="I48" s="520"/>
      <c r="J48" s="69" t="str">
        <f ca="1">IF(AND('Mapa Riesgos'!$Z$25="Muy Baja",'Mapa Riesgos'!$AB$25="Leve"),CONCATENATE("R3C",'Mapa Riesgos'!$P$25),"")</f>
        <v/>
      </c>
      <c r="K48" s="70" t="str">
        <f ca="1">IF(AND('Mapa Riesgos'!$Z$26="Muy Baja",'Mapa Riesgos'!$AB$26="Leve"),CONCATENATE("R3C",'Mapa Riesgos'!$P$26),"")</f>
        <v/>
      </c>
      <c r="L48" s="70" t="str">
        <f>IF(AND('Mapa Riesgos'!$Z$27="Muy Baja",'Mapa Riesgos'!$AB$27="Leve"),CONCATENATE("R3C",'Mapa Riesgos'!$P$27),"")</f>
        <v/>
      </c>
      <c r="M48" s="70" t="str">
        <f>IF(AND('Mapa Riesgos'!$Z$28="Muy Baja",'Mapa Riesgos'!$AB$28="Leve"),CONCATENATE("R3C",'Mapa Riesgos'!$P$28),"")</f>
        <v/>
      </c>
      <c r="N48" s="70" t="str">
        <f>IF(AND('Mapa Riesgos'!$Z$29="Muy Baja",'Mapa Riesgos'!$AB$29="Leve"),CONCATENATE("R3C",'Mapa Riesgos'!$P$29),"")</f>
        <v/>
      </c>
      <c r="O48" s="71" t="str">
        <f>IF(AND('Mapa Riesgos'!$Z$30="Muy Baja",'Mapa Riesgos'!$AB$30="Leve"),CONCATENATE("R3C",'Mapa Riesgos'!$P$30),"")</f>
        <v/>
      </c>
      <c r="P48" s="69" t="str">
        <f ca="1">IF(AND('Mapa Riesgos'!$Z$25="Muy Baja",'Mapa Riesgos'!$AB$25="Menor"),CONCATENATE("R3C",'Mapa Riesgos'!$P$25),"")</f>
        <v/>
      </c>
      <c r="Q48" s="70" t="str">
        <f ca="1">IF(AND('Mapa Riesgos'!$Z$26="Muy Baja",'Mapa Riesgos'!$AB$26="Menor"),CONCATENATE("R3C",'Mapa Riesgos'!$P$26),"")</f>
        <v/>
      </c>
      <c r="R48" s="70" t="str">
        <f>IF(AND('Mapa Riesgos'!$Z$27="Muy Baja",'Mapa Riesgos'!$AB$27="Menor"),CONCATENATE("R3C",'Mapa Riesgos'!$P$27),"")</f>
        <v/>
      </c>
      <c r="S48" s="70" t="str">
        <f>IF(AND('Mapa Riesgos'!$Z$28="Muy Baja",'Mapa Riesgos'!$AB$28="Menor"),CONCATENATE("R3C",'Mapa Riesgos'!$P$28),"")</f>
        <v/>
      </c>
      <c r="T48" s="70" t="str">
        <f>IF(AND('Mapa Riesgos'!$Z$29="Muy Baja",'Mapa Riesgos'!$AB$29="Menor"),CONCATENATE("R3C",'Mapa Riesgos'!$P$29),"")</f>
        <v/>
      </c>
      <c r="U48" s="71" t="str">
        <f>IF(AND('Mapa Riesgos'!$Z$30="Muy Baja",'Mapa Riesgos'!$AB$30="Menor"),CONCATENATE("R3C",'Mapa Riesgos'!$P$30),"")</f>
        <v/>
      </c>
      <c r="V48" s="60" t="str">
        <f ca="1">IF(AND('Mapa Riesgos'!$Z$25="Muy Baja",'Mapa Riesgos'!$AB$25="Moderado"),CONCATENATE("R3C",'Mapa Riesgos'!$P$25),"")</f>
        <v/>
      </c>
      <c r="W48" s="61" t="str">
        <f ca="1">IF(AND('Mapa Riesgos'!$Z$26="Muy Baja",'Mapa Riesgos'!$AB$26="Moderado"),CONCATENATE("R3C",'Mapa Riesgos'!$P$26),"")</f>
        <v/>
      </c>
      <c r="X48" s="61" t="str">
        <f>IF(AND('Mapa Riesgos'!$Z$27="Muy Baja",'Mapa Riesgos'!$AB$27="Moderado"),CONCATENATE("R3C",'Mapa Riesgos'!$P$27),"")</f>
        <v/>
      </c>
      <c r="Y48" s="61" t="str">
        <f>IF(AND('Mapa Riesgos'!$Z$28="Muy Baja",'Mapa Riesgos'!$AB$28="Moderado"),CONCATENATE("R3C",'Mapa Riesgos'!$P$28),"")</f>
        <v/>
      </c>
      <c r="Z48" s="61" t="str">
        <f>IF(AND('Mapa Riesgos'!$Z$29="Muy Baja",'Mapa Riesgos'!$AB$29="Moderado"),CONCATENATE("R3C",'Mapa Riesgos'!$P$29),"")</f>
        <v/>
      </c>
      <c r="AA48" s="62" t="str">
        <f>IF(AND('Mapa Riesgos'!$Z$30="Muy Baja",'Mapa Riesgos'!$AB$30="Moderado"),CONCATENATE("R3C",'Mapa Riesgos'!$P$30),"")</f>
        <v/>
      </c>
      <c r="AB48" s="44" t="str">
        <f ca="1">IF(AND('Mapa Riesgos'!$Z$25="Muy Baja",'Mapa Riesgos'!$AB$25="Mayor"),CONCATENATE("R3C",'Mapa Riesgos'!$P$25),"")</f>
        <v/>
      </c>
      <c r="AC48" s="45" t="str">
        <f ca="1">IF(AND('Mapa Riesgos'!$Z$26="Muy Baja",'Mapa Riesgos'!$AB$26="Mayor"),CONCATENATE("R3C",'Mapa Riesgos'!$P$26),"")</f>
        <v>R3C2</v>
      </c>
      <c r="AD48" s="45" t="str">
        <f>IF(AND('Mapa Riesgos'!$Z$27="Muy Baja",'Mapa Riesgos'!$AB$27="Mayor"),CONCATENATE("R3C",'Mapa Riesgos'!$P$27),"")</f>
        <v/>
      </c>
      <c r="AE48" s="45" t="str">
        <f>IF(AND('Mapa Riesgos'!$Z$28="Muy Baja",'Mapa Riesgos'!$AB$28="Mayor"),CONCATENATE("R3C",'Mapa Riesgos'!$P$28),"")</f>
        <v/>
      </c>
      <c r="AF48" s="45" t="str">
        <f>IF(AND('Mapa Riesgos'!$Z$29="Muy Baja",'Mapa Riesgos'!$AB$29="Mayor"),CONCATENATE("R3C",'Mapa Riesgos'!$P$29),"")</f>
        <v/>
      </c>
      <c r="AG48" s="46" t="str">
        <f>IF(AND('Mapa Riesgos'!$Z$30="Muy Baja",'Mapa Riesgos'!$AB$30="Mayor"),CONCATENATE("R3C",'Mapa Riesgos'!$P$30),"")</f>
        <v/>
      </c>
      <c r="AH48" s="47" t="str">
        <f ca="1">IF(AND('Mapa Riesgos'!$Z$25="Muy Baja",'Mapa Riesgos'!$AB$25="Catastrófico"),CONCATENATE("R3C",'Mapa Riesgos'!$P$25),"")</f>
        <v/>
      </c>
      <c r="AI48" s="48" t="str">
        <f ca="1">IF(AND('Mapa Riesgos'!$Z$26="Muy Baja",'Mapa Riesgos'!$AB$26="Catastrófico"),CONCATENATE("R3C",'Mapa Riesgos'!$P$26),"")</f>
        <v/>
      </c>
      <c r="AJ48" s="48" t="str">
        <f>IF(AND('Mapa Riesgos'!$Z$27="Muy Baja",'Mapa Riesgos'!$AB$27="Catastrófico"),CONCATENATE("R3C",'Mapa Riesgos'!$P$27),"")</f>
        <v/>
      </c>
      <c r="AK48" s="48" t="str">
        <f>IF(AND('Mapa Riesgos'!$Z$28="Muy Baja",'Mapa Riesgos'!$AB$28="Catastrófico"),CONCATENATE("R3C",'Mapa Riesgos'!$P$28),"")</f>
        <v/>
      </c>
      <c r="AL48" s="48" t="str">
        <f>IF(AND('Mapa Riesgos'!$Z$29="Muy Baja",'Mapa Riesgos'!$AB$29="Catastrófico"),CONCATENATE("R3C",'Mapa Riesgos'!$P$29),"")</f>
        <v/>
      </c>
      <c r="AM48" s="49" t="str">
        <f>IF(AND('Mapa Riesgos'!$Z$30="Muy Baja",'Mapa Riesgos'!$AB$30="Catastrófico"),CONCATENATE("R3C",'Mapa Riesgos'!$P$30),"")</f>
        <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c r="A49" s="76"/>
      <c r="B49" s="477"/>
      <c r="C49" s="477"/>
      <c r="D49" s="478"/>
      <c r="E49" s="518"/>
      <c r="F49" s="519"/>
      <c r="G49" s="519"/>
      <c r="H49" s="519"/>
      <c r="I49" s="520"/>
      <c r="J49" s="69" t="str">
        <f ca="1">IF(AND('Mapa Riesgos'!$Z$31="Muy Baja",'Mapa Riesgos'!$AB$31="Leve"),CONCATENATE("R4C",'Mapa Riesgos'!$P$31),"")</f>
        <v/>
      </c>
      <c r="K49" s="70" t="str">
        <f ca="1">IF(AND('Mapa Riesgos'!$Z$32="Muy Baja",'Mapa Riesgos'!$AB$32="Leve"),CONCATENATE("R4C",'Mapa Riesgos'!$P$32),"")</f>
        <v/>
      </c>
      <c r="L49" s="70" t="str">
        <f>IF(AND('Mapa Riesgos'!$Z$33="Muy Baja",'Mapa Riesgos'!$AB$33="Leve"),CONCATENATE("R4C",'Mapa Riesgos'!$P$33),"")</f>
        <v/>
      </c>
      <c r="M49" s="70" t="str">
        <f>IF(AND('Mapa Riesgos'!$Z$34="Muy Baja",'Mapa Riesgos'!$AB$34="Leve"),CONCATENATE("R4C",'Mapa Riesgos'!$P$34),"")</f>
        <v/>
      </c>
      <c r="N49" s="70" t="str">
        <f>IF(AND('Mapa Riesgos'!$Z$35="Muy Baja",'Mapa Riesgos'!$AB$35="Leve"),CONCATENATE("R4C",'Mapa Riesgos'!$P$35),"")</f>
        <v/>
      </c>
      <c r="O49" s="71" t="str">
        <f>IF(AND('Mapa Riesgos'!$Z$36="Muy Baja",'Mapa Riesgos'!$AB$36="Leve"),CONCATENATE("R4C",'Mapa Riesgos'!$P$36),"")</f>
        <v/>
      </c>
      <c r="P49" s="69" t="str">
        <f ca="1">IF(AND('Mapa Riesgos'!$Z$31="Muy Baja",'Mapa Riesgos'!$AB$31="Menor"),CONCATENATE("R4C",'Mapa Riesgos'!$P$31),"")</f>
        <v/>
      </c>
      <c r="Q49" s="70" t="str">
        <f ca="1">IF(AND('Mapa Riesgos'!$Z$32="Muy Baja",'Mapa Riesgos'!$AB$32="Menor"),CONCATENATE("R4C",'Mapa Riesgos'!$P$32),"")</f>
        <v/>
      </c>
      <c r="R49" s="70" t="str">
        <f>IF(AND('Mapa Riesgos'!$Z$33="Muy Baja",'Mapa Riesgos'!$AB$33="Menor"),CONCATENATE("R4C",'Mapa Riesgos'!$P$33),"")</f>
        <v/>
      </c>
      <c r="S49" s="70" t="str">
        <f>IF(AND('Mapa Riesgos'!$Z$34="Muy Baja",'Mapa Riesgos'!$AB$34="Menor"),CONCATENATE("R4C",'Mapa Riesgos'!$P$34),"")</f>
        <v/>
      </c>
      <c r="T49" s="70" t="str">
        <f>IF(AND('Mapa Riesgos'!$Z$35="Muy Baja",'Mapa Riesgos'!$AB$35="Menor"),CONCATENATE("R4C",'Mapa Riesgos'!$P$35),"")</f>
        <v/>
      </c>
      <c r="U49" s="71" t="str">
        <f>IF(AND('Mapa Riesgos'!$Z$36="Muy Baja",'Mapa Riesgos'!$AB$36="Menor"),CONCATENATE("R4C",'Mapa Riesgos'!$P$36),"")</f>
        <v/>
      </c>
      <c r="V49" s="60" t="str">
        <f ca="1">IF(AND('Mapa Riesgos'!$Z$31="Muy Baja",'Mapa Riesgos'!$AB$31="Moderado"),CONCATENATE("R4C",'Mapa Riesgos'!$P$31),"")</f>
        <v/>
      </c>
      <c r="W49" s="61" t="str">
        <f ca="1">IF(AND('Mapa Riesgos'!$Z$32="Muy Baja",'Mapa Riesgos'!$AB$32="Moderado"),CONCATENATE("R4C",'Mapa Riesgos'!$P$32),"")</f>
        <v>R4C2</v>
      </c>
      <c r="X49" s="61" t="str">
        <f>IF(AND('Mapa Riesgos'!$Z$33="Muy Baja",'Mapa Riesgos'!$AB$33="Moderado"),CONCATENATE("R4C",'Mapa Riesgos'!$P$33),"")</f>
        <v/>
      </c>
      <c r="Y49" s="61" t="str">
        <f>IF(AND('Mapa Riesgos'!$Z$34="Muy Baja",'Mapa Riesgos'!$AB$34="Moderado"),CONCATENATE("R4C",'Mapa Riesgos'!$P$34),"")</f>
        <v/>
      </c>
      <c r="Z49" s="61" t="str">
        <f>IF(AND('Mapa Riesgos'!$Z$35="Muy Baja",'Mapa Riesgos'!$AB$35="Moderado"),CONCATENATE("R4C",'Mapa Riesgos'!$P$35),"")</f>
        <v/>
      </c>
      <c r="AA49" s="62" t="str">
        <f>IF(AND('Mapa Riesgos'!$Z$36="Muy Baja",'Mapa Riesgos'!$AB$36="Moderado"),CONCATENATE("R4C",'Mapa Riesgos'!$P$36),"")</f>
        <v/>
      </c>
      <c r="AB49" s="44" t="str">
        <f ca="1">IF(AND('Mapa Riesgos'!$Z$31="Muy Baja",'Mapa Riesgos'!$AB$31="Mayor"),CONCATENATE("R4C",'Mapa Riesgos'!$P$31),"")</f>
        <v>R4C1</v>
      </c>
      <c r="AC49" s="45" t="str">
        <f ca="1">IF(AND('Mapa Riesgos'!$Z$32="Muy Baja",'Mapa Riesgos'!$AB$32="Mayor"),CONCATENATE("R4C",'Mapa Riesgos'!$P$32),"")</f>
        <v/>
      </c>
      <c r="AD49" s="45" t="str">
        <f>IF(AND('Mapa Riesgos'!$Z$33="Muy Baja",'Mapa Riesgos'!$AB$33="Mayor"),CONCATENATE("R4C",'Mapa Riesgos'!$P$33),"")</f>
        <v/>
      </c>
      <c r="AE49" s="45" t="str">
        <f>IF(AND('Mapa Riesgos'!$Z$34="Muy Baja",'Mapa Riesgos'!$AB$34="Mayor"),CONCATENATE("R4C",'Mapa Riesgos'!$P$34),"")</f>
        <v/>
      </c>
      <c r="AF49" s="45" t="str">
        <f>IF(AND('Mapa Riesgos'!$Z$35="Muy Baja",'Mapa Riesgos'!$AB$35="Mayor"),CONCATENATE("R4C",'Mapa Riesgos'!$P$35),"")</f>
        <v/>
      </c>
      <c r="AG49" s="46" t="str">
        <f>IF(AND('Mapa Riesgos'!$Z$36="Muy Baja",'Mapa Riesgos'!$AB$36="Mayor"),CONCATENATE("R4C",'Mapa Riesgos'!$P$36),"")</f>
        <v/>
      </c>
      <c r="AH49" s="47" t="str">
        <f ca="1">IF(AND('Mapa Riesgos'!$Z$31="Muy Baja",'Mapa Riesgos'!$AB$31="Catastrófico"),CONCATENATE("R4C",'Mapa Riesgos'!$P$31),"")</f>
        <v/>
      </c>
      <c r="AI49" s="48" t="str">
        <f ca="1">IF(AND('Mapa Riesgos'!$Z$32="Muy Baja",'Mapa Riesgos'!$AB$32="Catastrófico"),CONCATENATE("R4C",'Mapa Riesgos'!$P$32),"")</f>
        <v/>
      </c>
      <c r="AJ49" s="48" t="str">
        <f>IF(AND('Mapa Riesgos'!$Z$33="Muy Baja",'Mapa Riesgos'!$AB$33="Catastrófico"),CONCATENATE("R4C",'Mapa Riesgos'!$P$33),"")</f>
        <v/>
      </c>
      <c r="AK49" s="48" t="str">
        <f>IF(AND('Mapa Riesgos'!$Z$34="Muy Baja",'Mapa Riesgos'!$AB$34="Catastrófico"),CONCATENATE("R4C",'Mapa Riesgos'!$P$34),"")</f>
        <v/>
      </c>
      <c r="AL49" s="48" t="str">
        <f>IF(AND('Mapa Riesgos'!$Z$35="Muy Baja",'Mapa Riesgos'!$AB$35="Catastrófico"),CONCATENATE("R4C",'Mapa Riesgos'!$P$35),"")</f>
        <v/>
      </c>
      <c r="AM49" s="49" t="str">
        <f>IF(AND('Mapa Riesgos'!$Z$36="Muy Baja",'Mapa Riesgos'!$AB$36="Catastrófico"),CONCATENATE("R4C",'Mapa Riesgos'!$P$36),"")</f>
        <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c r="A50" s="76"/>
      <c r="B50" s="477"/>
      <c r="C50" s="477"/>
      <c r="D50" s="478"/>
      <c r="E50" s="518"/>
      <c r="F50" s="519"/>
      <c r="G50" s="519"/>
      <c r="H50" s="519"/>
      <c r="I50" s="520"/>
      <c r="J50" s="69" t="str">
        <f ca="1">IF(AND('Mapa Riesgos'!$Z$37="Muy Baja",'Mapa Riesgos'!$AB$37="Leve"),CONCATENATE("R5C",'Mapa Riesgos'!$P$37),"")</f>
        <v/>
      </c>
      <c r="K50" s="70" t="str">
        <f>IF(AND('Mapa Riesgos'!$Z$38="Muy Baja",'Mapa Riesgos'!$AB$38="Leve"),CONCATENATE("R5C",'Mapa Riesgos'!$P$38),"")</f>
        <v/>
      </c>
      <c r="L50" s="70" t="str">
        <f>IF(AND('Mapa Riesgos'!$Z$39="Muy Baja",'Mapa Riesgos'!$AB$39="Leve"),CONCATENATE("R5C",'Mapa Riesgos'!$P$39),"")</f>
        <v/>
      </c>
      <c r="M50" s="70" t="str">
        <f>IF(AND('Mapa Riesgos'!$Z$40="Muy Baja",'Mapa Riesgos'!$AB$40="Leve"),CONCATENATE("R5C",'Mapa Riesgos'!$P$40),"")</f>
        <v/>
      </c>
      <c r="N50" s="70" t="str">
        <f>IF(AND('Mapa Riesgos'!$Z$41="Muy Baja",'Mapa Riesgos'!$AB$41="Leve"),CONCATENATE("R5C",'Mapa Riesgos'!$P$41),"")</f>
        <v/>
      </c>
      <c r="O50" s="71" t="str">
        <f>IF(AND('Mapa Riesgos'!$Z$42="Muy Baja",'Mapa Riesgos'!$AB$42="Leve"),CONCATENATE("R5C",'Mapa Riesgos'!$P$42),"")</f>
        <v/>
      </c>
      <c r="P50" s="69" t="str">
        <f ca="1">IF(AND('Mapa Riesgos'!$Z$37="Muy Baja",'Mapa Riesgos'!$AB$37="Menor"),CONCATENATE("R5C",'Mapa Riesgos'!$P$37),"")</f>
        <v/>
      </c>
      <c r="Q50" s="70" t="str">
        <f>IF(AND('Mapa Riesgos'!$Z$38="Muy Baja",'Mapa Riesgos'!$AB$38="Menor"),CONCATENATE("R5C",'Mapa Riesgos'!$P$38),"")</f>
        <v/>
      </c>
      <c r="R50" s="70" t="str">
        <f>IF(AND('Mapa Riesgos'!$Z$39="Muy Baja",'Mapa Riesgos'!$AB$39="Menor"),CONCATENATE("R5C",'Mapa Riesgos'!$P$39),"")</f>
        <v/>
      </c>
      <c r="S50" s="70" t="str">
        <f>IF(AND('Mapa Riesgos'!$Z$40="Muy Baja",'Mapa Riesgos'!$AB$40="Menor"),CONCATENATE("R5C",'Mapa Riesgos'!$P$40),"")</f>
        <v/>
      </c>
      <c r="T50" s="70" t="str">
        <f>IF(AND('Mapa Riesgos'!$Z$41="Muy Baja",'Mapa Riesgos'!$AB$41="Menor"),CONCATENATE("R5C",'Mapa Riesgos'!$P$41),"")</f>
        <v/>
      </c>
      <c r="U50" s="71" t="str">
        <f>IF(AND('Mapa Riesgos'!$Z$42="Muy Baja",'Mapa Riesgos'!$AB$42="Menor"),CONCATENATE("R5C",'Mapa Riesgos'!$P$42),"")</f>
        <v/>
      </c>
      <c r="V50" s="60" t="str">
        <f ca="1">IF(AND('Mapa Riesgos'!$Z$37="Muy Baja",'Mapa Riesgos'!$AB$37="Moderado"),CONCATENATE("R5C",'Mapa Riesgos'!$P$37),"")</f>
        <v/>
      </c>
      <c r="W50" s="61" t="str">
        <f>IF(AND('Mapa Riesgos'!$Z$38="Muy Baja",'Mapa Riesgos'!$AB$38="Moderado"),CONCATENATE("R5C",'Mapa Riesgos'!$P$38),"")</f>
        <v/>
      </c>
      <c r="X50" s="61" t="str">
        <f>IF(AND('Mapa Riesgos'!$Z$39="Muy Baja",'Mapa Riesgos'!$AB$39="Moderado"),CONCATENATE("R5C",'Mapa Riesgos'!$P$39),"")</f>
        <v/>
      </c>
      <c r="Y50" s="61" t="str">
        <f>IF(AND('Mapa Riesgos'!$Z$40="Muy Baja",'Mapa Riesgos'!$AB$40="Moderado"),CONCATENATE("R5C",'Mapa Riesgos'!$P$40),"")</f>
        <v/>
      </c>
      <c r="Z50" s="61" t="str">
        <f>IF(AND('Mapa Riesgos'!$Z$41="Muy Baja",'Mapa Riesgos'!$AB$41="Moderado"),CONCATENATE("R5C",'Mapa Riesgos'!$P$41),"")</f>
        <v/>
      </c>
      <c r="AA50" s="62" t="str">
        <f>IF(AND('Mapa Riesgos'!$Z$42="Muy Baja",'Mapa Riesgos'!$AB$42="Moderado"),CONCATENATE("R5C",'Mapa Riesgos'!$P$42),"")</f>
        <v/>
      </c>
      <c r="AB50" s="44" t="str">
        <f ca="1">IF(AND('Mapa Riesgos'!$Z$37="Muy Baja",'Mapa Riesgos'!$AB$37="Mayor"),CONCATENATE("R5C",'Mapa Riesgos'!$P$37),"")</f>
        <v/>
      </c>
      <c r="AC50" s="45" t="str">
        <f>IF(AND('Mapa Riesgos'!$Z$38="Muy Baja",'Mapa Riesgos'!$AB$38="Mayor"),CONCATENATE("R5C",'Mapa Riesgos'!$P$38),"")</f>
        <v/>
      </c>
      <c r="AD50" s="50" t="str">
        <f>IF(AND('Mapa Riesgos'!$Z$39="Muy Baja",'Mapa Riesgos'!$AB$39="Mayor"),CONCATENATE("R5C",'Mapa Riesgos'!$P$39),"")</f>
        <v/>
      </c>
      <c r="AE50" s="50" t="str">
        <f>IF(AND('Mapa Riesgos'!$Z$40="Muy Baja",'Mapa Riesgos'!$AB$40="Mayor"),CONCATENATE("R5C",'Mapa Riesgos'!$P$40),"")</f>
        <v/>
      </c>
      <c r="AF50" s="50" t="str">
        <f>IF(AND('Mapa Riesgos'!$Z$41="Muy Baja",'Mapa Riesgos'!$AB$41="Mayor"),CONCATENATE("R5C",'Mapa Riesgos'!$P$41),"")</f>
        <v/>
      </c>
      <c r="AG50" s="46" t="str">
        <f>IF(AND('Mapa Riesgos'!$Z$42="Muy Baja",'Mapa Riesgos'!$AB$42="Mayor"),CONCATENATE("R5C",'Mapa Riesgos'!$P$42),"")</f>
        <v/>
      </c>
      <c r="AH50" s="47" t="str">
        <f ca="1">IF(AND('Mapa Riesgos'!$Z$37="Muy Baja",'Mapa Riesgos'!$AB$37="Catastrófico"),CONCATENATE("R5C",'Mapa Riesgos'!$P$37),"")</f>
        <v/>
      </c>
      <c r="AI50" s="48" t="str">
        <f>IF(AND('Mapa Riesgos'!$Z$38="Muy Baja",'Mapa Riesgos'!$AB$38="Catastrófico"),CONCATENATE("R5C",'Mapa Riesgos'!$P$38),"")</f>
        <v/>
      </c>
      <c r="AJ50" s="48" t="str">
        <f>IF(AND('Mapa Riesgos'!$Z$39="Muy Baja",'Mapa Riesgos'!$AB$39="Catastrófico"),CONCATENATE("R5C",'Mapa Riesgos'!$P$39),"")</f>
        <v/>
      </c>
      <c r="AK50" s="48" t="str">
        <f>IF(AND('Mapa Riesgos'!$Z$40="Muy Baja",'Mapa Riesgos'!$AB$40="Catastrófico"),CONCATENATE("R5C",'Mapa Riesgos'!$P$40),"")</f>
        <v/>
      </c>
      <c r="AL50" s="48" t="str">
        <f>IF(AND('Mapa Riesgos'!$Z$41="Muy Baja",'Mapa Riesgos'!$AB$41="Catastrófico"),CONCATENATE("R5C",'Mapa Riesgos'!$P$41),"")</f>
        <v/>
      </c>
      <c r="AM50" s="49" t="str">
        <f>IF(AND('Mapa Riesgos'!$Z$42="Muy Baja",'Mapa Riesgos'!$AB$42="Catastrófico"),CONCATENATE("R5C",'Mapa Riesgos'!$P$42),"")</f>
        <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c r="A51" s="76"/>
      <c r="B51" s="477"/>
      <c r="C51" s="477"/>
      <c r="D51" s="478"/>
      <c r="E51" s="518"/>
      <c r="F51" s="519"/>
      <c r="G51" s="519"/>
      <c r="H51" s="519"/>
      <c r="I51" s="520"/>
      <c r="J51" s="69" t="str">
        <f ca="1">IF(AND('Mapa Riesgos'!$Z$43="Muy Baja",'Mapa Riesgos'!$AB$43="Leve"),CONCATENATE("R6C",'Mapa Riesgos'!$P$43),"")</f>
        <v/>
      </c>
      <c r="K51" s="70" t="str">
        <f ca="1">IF(AND('Mapa Riesgos'!$Z$44="Muy Baja",'Mapa Riesgos'!$AB$44="Leve"),CONCATENATE("R6C",'Mapa Riesgos'!$P$44),"")</f>
        <v/>
      </c>
      <c r="L51" s="70" t="str">
        <f ca="1">IF(AND('Mapa Riesgos'!$Z$45="Muy Baja",'Mapa Riesgos'!$AB$45="Leve"),CONCATENATE("R6C",'Mapa Riesgos'!$P$45),"")</f>
        <v/>
      </c>
      <c r="M51" s="70" t="str">
        <f>IF(AND('Mapa Riesgos'!$Z$46="Muy Baja",'Mapa Riesgos'!$AB$46="Leve"),CONCATENATE("R6C",'Mapa Riesgos'!$P$46),"")</f>
        <v/>
      </c>
      <c r="N51" s="70" t="str">
        <f>IF(AND('Mapa Riesgos'!$Z$47="Muy Baja",'Mapa Riesgos'!$AB$47="Leve"),CONCATENATE("R6C",'Mapa Riesgos'!$P$47),"")</f>
        <v/>
      </c>
      <c r="O51" s="71" t="str">
        <f>IF(AND('Mapa Riesgos'!$Z$48="Muy Baja",'Mapa Riesgos'!$AB$48="Leve"),CONCATENATE("R6C",'Mapa Riesgos'!$P$48),"")</f>
        <v/>
      </c>
      <c r="P51" s="69" t="str">
        <f ca="1">IF(AND('Mapa Riesgos'!$Z$43="Muy Baja",'Mapa Riesgos'!$AB$43="Menor"),CONCATENATE("R6C",'Mapa Riesgos'!$P$43),"")</f>
        <v/>
      </c>
      <c r="Q51" s="70" t="str">
        <f ca="1">IF(AND('Mapa Riesgos'!$Z$44="Muy Baja",'Mapa Riesgos'!$AB$44="Menor"),CONCATENATE("R6C",'Mapa Riesgos'!$P$44),"")</f>
        <v/>
      </c>
      <c r="R51" s="70" t="str">
        <f ca="1">IF(AND('Mapa Riesgos'!$Z$45="Muy Baja",'Mapa Riesgos'!$AB$45="Menor"),CONCATENATE("R6C",'Mapa Riesgos'!$P$45),"")</f>
        <v/>
      </c>
      <c r="S51" s="70" t="str">
        <f>IF(AND('Mapa Riesgos'!$Z$46="Muy Baja",'Mapa Riesgos'!$AB$46="Menor"),CONCATENATE("R6C",'Mapa Riesgos'!$P$46),"")</f>
        <v/>
      </c>
      <c r="T51" s="70" t="str">
        <f>IF(AND('Mapa Riesgos'!$Z$47="Muy Baja",'Mapa Riesgos'!$AB$47="Menor"),CONCATENATE("R6C",'Mapa Riesgos'!$P$47),"")</f>
        <v/>
      </c>
      <c r="U51" s="71" t="str">
        <f>IF(AND('Mapa Riesgos'!$Z$48="Muy Baja",'Mapa Riesgos'!$AB$48="Menor"),CONCATENATE("R6C",'Mapa Riesgos'!$P$48),"")</f>
        <v/>
      </c>
      <c r="V51" s="60" t="str">
        <f ca="1">IF(AND('Mapa Riesgos'!$Z$43="Muy Baja",'Mapa Riesgos'!$AB$43="Moderado"),CONCATENATE("R6C",'Mapa Riesgos'!$P$43),"")</f>
        <v/>
      </c>
      <c r="W51" s="61" t="str">
        <f ca="1">IF(AND('Mapa Riesgos'!$Z$44="Muy Baja",'Mapa Riesgos'!$AB$44="Moderado"),CONCATENATE("R6C",'Mapa Riesgos'!$P$44),"")</f>
        <v>R6C2</v>
      </c>
      <c r="X51" s="61" t="str">
        <f ca="1">IF(AND('Mapa Riesgos'!$Z$45="Muy Baja",'Mapa Riesgos'!$AB$45="Moderado"),CONCATENATE("R6C",'Mapa Riesgos'!$P$45),"")</f>
        <v>R6C3</v>
      </c>
      <c r="Y51" s="61" t="str">
        <f>IF(AND('Mapa Riesgos'!$Z$46="Muy Baja",'Mapa Riesgos'!$AB$46="Moderado"),CONCATENATE("R6C",'Mapa Riesgos'!$P$46),"")</f>
        <v/>
      </c>
      <c r="Z51" s="61" t="str">
        <f>IF(AND('Mapa Riesgos'!$Z$47="Muy Baja",'Mapa Riesgos'!$AB$47="Moderado"),CONCATENATE("R6C",'Mapa Riesgos'!$P$47),"")</f>
        <v/>
      </c>
      <c r="AA51" s="62" t="str">
        <f>IF(AND('Mapa Riesgos'!$Z$48="Muy Baja",'Mapa Riesgos'!$AB$48="Moderado"),CONCATENATE("R6C",'Mapa Riesgos'!$P$48),"")</f>
        <v/>
      </c>
      <c r="AB51" s="44" t="str">
        <f ca="1">IF(AND('Mapa Riesgos'!$Z$43="Muy Baja",'Mapa Riesgos'!$AB$43="Mayor"),CONCATENATE("R6C",'Mapa Riesgos'!$P$43),"")</f>
        <v/>
      </c>
      <c r="AC51" s="45" t="str">
        <f ca="1">IF(AND('Mapa Riesgos'!$Z$44="Muy Baja",'Mapa Riesgos'!$AB$44="Mayor"),CONCATENATE("R6C",'Mapa Riesgos'!$P$44),"")</f>
        <v/>
      </c>
      <c r="AD51" s="50" t="str">
        <f ca="1">IF(AND('Mapa Riesgos'!$Z$45="Muy Baja",'Mapa Riesgos'!$AB$45="Mayor"),CONCATENATE("R6C",'Mapa Riesgos'!$P$45),"")</f>
        <v/>
      </c>
      <c r="AE51" s="50" t="str">
        <f>IF(AND('Mapa Riesgos'!$Z$46="Muy Baja",'Mapa Riesgos'!$AB$46="Mayor"),CONCATENATE("R6C",'Mapa Riesgos'!$P$46),"")</f>
        <v/>
      </c>
      <c r="AF51" s="50" t="str">
        <f>IF(AND('Mapa Riesgos'!$Z$47="Muy Baja",'Mapa Riesgos'!$AB$47="Mayor"),CONCATENATE("R6C",'Mapa Riesgos'!$P$47),"")</f>
        <v/>
      </c>
      <c r="AG51" s="46" t="str">
        <f>IF(AND('Mapa Riesgos'!$Z$48="Muy Baja",'Mapa Riesgos'!$AB$48="Mayor"),CONCATENATE("R6C",'Mapa Riesgos'!$P$48),"")</f>
        <v/>
      </c>
      <c r="AH51" s="47" t="str">
        <f ca="1">IF(AND('Mapa Riesgos'!$Z$43="Muy Baja",'Mapa Riesgos'!$AB$43="Catastrófico"),CONCATENATE("R6C",'Mapa Riesgos'!$P$43),"")</f>
        <v/>
      </c>
      <c r="AI51" s="48" t="str">
        <f ca="1">IF(AND('Mapa Riesgos'!$Z$44="Muy Baja",'Mapa Riesgos'!$AB$44="Catastrófico"),CONCATENATE("R6C",'Mapa Riesgos'!$P$44),"")</f>
        <v/>
      </c>
      <c r="AJ51" s="48" t="str">
        <f ca="1">IF(AND('Mapa Riesgos'!$Z$45="Muy Baja",'Mapa Riesgos'!$AB$45="Catastrófico"),CONCATENATE("R6C",'Mapa Riesgos'!$P$45),"")</f>
        <v/>
      </c>
      <c r="AK51" s="48" t="str">
        <f>IF(AND('Mapa Riesgos'!$Z$46="Muy Baja",'Mapa Riesgos'!$AB$46="Catastrófico"),CONCATENATE("R6C",'Mapa Riesgos'!$P$46),"")</f>
        <v/>
      </c>
      <c r="AL51" s="48" t="str">
        <f>IF(AND('Mapa Riesgos'!$Z$47="Muy Baja",'Mapa Riesgos'!$AB$47="Catastrófico"),CONCATENATE("R6C",'Mapa Riesgos'!$P$47),"")</f>
        <v/>
      </c>
      <c r="AM51" s="49" t="str">
        <f>IF(AND('Mapa Riesgos'!$Z$48="Muy Baja",'Mapa Riesgos'!$AB$48="Catastrófico"),CONCATENATE("R6C",'Mapa Riesgos'!$P$48),"")</f>
        <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c r="A52" s="76"/>
      <c r="B52" s="477"/>
      <c r="C52" s="477"/>
      <c r="D52" s="478"/>
      <c r="E52" s="518"/>
      <c r="F52" s="519"/>
      <c r="G52" s="519"/>
      <c r="H52" s="519"/>
      <c r="I52" s="520"/>
      <c r="J52" s="69" t="str">
        <f ca="1">IF(AND('Mapa Riesgos'!$Z$49="Muy Baja",'Mapa Riesgos'!$AB$49="Leve"),CONCATENATE("R7C",'Mapa Riesgos'!$P$49),"")</f>
        <v/>
      </c>
      <c r="K52" s="70" t="str">
        <f>IF(AND('Mapa Riesgos'!$Z$50="Muy Baja",'Mapa Riesgos'!$AB$50="Leve"),CONCATENATE("R7C",'Mapa Riesgos'!$P$50),"")</f>
        <v/>
      </c>
      <c r="L52" s="70" t="str">
        <f>IF(AND('Mapa Riesgos'!$Z$51="Muy Baja",'Mapa Riesgos'!$AB$51="Leve"),CONCATENATE("R7C",'Mapa Riesgos'!$P$51),"")</f>
        <v/>
      </c>
      <c r="M52" s="70" t="str">
        <f>IF(AND('Mapa Riesgos'!$Z$52="Muy Baja",'Mapa Riesgos'!$AB$52="Leve"),CONCATENATE("R7C",'Mapa Riesgos'!$P$52),"")</f>
        <v/>
      </c>
      <c r="N52" s="70" t="str">
        <f>IF(AND('Mapa Riesgos'!$Z$53="Muy Baja",'Mapa Riesgos'!$AB$53="Leve"),CONCATENATE("R7C",'Mapa Riesgos'!$P$53),"")</f>
        <v/>
      </c>
      <c r="O52" s="71" t="str">
        <f>IF(AND('Mapa Riesgos'!$Z$54="Muy Baja",'Mapa Riesgos'!$AB$54="Leve"),CONCATENATE("R7C",'Mapa Riesgos'!$P$54),"")</f>
        <v/>
      </c>
      <c r="P52" s="69" t="str">
        <f ca="1">IF(AND('Mapa Riesgos'!$Z$49="Muy Baja",'Mapa Riesgos'!$AB$49="Menor"),CONCATENATE("R7C",'Mapa Riesgos'!$P$49),"")</f>
        <v/>
      </c>
      <c r="Q52" s="70" t="str">
        <f>IF(AND('Mapa Riesgos'!$Z$50="Muy Baja",'Mapa Riesgos'!$AB$50="Menor"),CONCATENATE("R7C",'Mapa Riesgos'!$P$50),"")</f>
        <v/>
      </c>
      <c r="R52" s="70" t="str">
        <f>IF(AND('Mapa Riesgos'!$Z$51="Muy Baja",'Mapa Riesgos'!$AB$51="Menor"),CONCATENATE("R7C",'Mapa Riesgos'!$P$51),"")</f>
        <v/>
      </c>
      <c r="S52" s="70" t="str">
        <f>IF(AND('Mapa Riesgos'!$Z$52="Muy Baja",'Mapa Riesgos'!$AB$52="Menor"),CONCATENATE("R7C",'Mapa Riesgos'!$P$52),"")</f>
        <v/>
      </c>
      <c r="T52" s="70" t="str">
        <f>IF(AND('Mapa Riesgos'!$Z$53="Muy Baja",'Mapa Riesgos'!$AB$53="Menor"),CONCATENATE("R7C",'Mapa Riesgos'!$P$53),"")</f>
        <v/>
      </c>
      <c r="U52" s="71" t="str">
        <f>IF(AND('Mapa Riesgos'!$Z$54="Muy Baja",'Mapa Riesgos'!$AB$54="Menor"),CONCATENATE("R7C",'Mapa Riesgos'!$P$54),"")</f>
        <v/>
      </c>
      <c r="V52" s="60" t="str">
        <f ca="1">IF(AND('Mapa Riesgos'!$Z$49="Muy Baja",'Mapa Riesgos'!$AB$49="Moderado"),CONCATENATE("R7C",'Mapa Riesgos'!$P$49),"")</f>
        <v/>
      </c>
      <c r="W52" s="61" t="str">
        <f>IF(AND('Mapa Riesgos'!$Z$50="Muy Baja",'Mapa Riesgos'!$AB$50="Moderado"),CONCATENATE("R7C",'Mapa Riesgos'!$P$50),"")</f>
        <v/>
      </c>
      <c r="X52" s="61" t="str">
        <f>IF(AND('Mapa Riesgos'!$Z$51="Muy Baja",'Mapa Riesgos'!$AB$51="Moderado"),CONCATENATE("R7C",'Mapa Riesgos'!$P$51),"")</f>
        <v/>
      </c>
      <c r="Y52" s="61" t="str">
        <f>IF(AND('Mapa Riesgos'!$Z$52="Muy Baja",'Mapa Riesgos'!$AB$52="Moderado"),CONCATENATE("R7C",'Mapa Riesgos'!$P$52),"")</f>
        <v/>
      </c>
      <c r="Z52" s="61" t="str">
        <f>IF(AND('Mapa Riesgos'!$Z$53="Muy Baja",'Mapa Riesgos'!$AB$53="Moderado"),CONCATENATE("R7C",'Mapa Riesgos'!$P$53),"")</f>
        <v/>
      </c>
      <c r="AA52" s="62" t="str">
        <f>IF(AND('Mapa Riesgos'!$Z$54="Muy Baja",'Mapa Riesgos'!$AB$54="Moderado"),CONCATENATE("R7C",'Mapa Riesgos'!$P$54),"")</f>
        <v/>
      </c>
      <c r="AB52" s="44" t="str">
        <f ca="1">IF(AND('Mapa Riesgos'!$Z$49="Muy Baja",'Mapa Riesgos'!$AB$49="Mayor"),CONCATENATE("R7C",'Mapa Riesgos'!$P$49),"")</f>
        <v/>
      </c>
      <c r="AC52" s="45" t="str">
        <f>IF(AND('Mapa Riesgos'!$Z$50="Muy Baja",'Mapa Riesgos'!$AB$50="Mayor"),CONCATENATE("R7C",'Mapa Riesgos'!$P$50),"")</f>
        <v/>
      </c>
      <c r="AD52" s="50" t="str">
        <f>IF(AND('Mapa Riesgos'!$Z$51="Muy Baja",'Mapa Riesgos'!$AB$51="Mayor"),CONCATENATE("R7C",'Mapa Riesgos'!$P$51),"")</f>
        <v/>
      </c>
      <c r="AE52" s="50" t="str">
        <f>IF(AND('Mapa Riesgos'!$Z$52="Muy Baja",'Mapa Riesgos'!$AB$52="Mayor"),CONCATENATE("R7C",'Mapa Riesgos'!$P$52),"")</f>
        <v/>
      </c>
      <c r="AF52" s="50" t="str">
        <f>IF(AND('Mapa Riesgos'!$Z$53="Muy Baja",'Mapa Riesgos'!$AB$53="Mayor"),CONCATENATE("R7C",'Mapa Riesgos'!$P$53),"")</f>
        <v/>
      </c>
      <c r="AG52" s="46" t="str">
        <f>IF(AND('Mapa Riesgos'!$Z$54="Muy Baja",'Mapa Riesgos'!$AB$54="Mayor"),CONCATENATE("R7C",'Mapa Riesgos'!$P$54),"")</f>
        <v/>
      </c>
      <c r="AH52" s="47" t="str">
        <f ca="1">IF(AND('Mapa Riesgos'!$Z$49="Muy Baja",'Mapa Riesgos'!$AB$49="Catastrófico"),CONCATENATE("R7C",'Mapa Riesgos'!$P$49),"")</f>
        <v/>
      </c>
      <c r="AI52" s="48" t="str">
        <f>IF(AND('Mapa Riesgos'!$Z$50="Muy Baja",'Mapa Riesgos'!$AB$50="Catastrófico"),CONCATENATE("R7C",'Mapa Riesgos'!$P$50),"")</f>
        <v/>
      </c>
      <c r="AJ52" s="48" t="str">
        <f>IF(AND('Mapa Riesgos'!$Z$51="Muy Baja",'Mapa Riesgos'!$AB$51="Catastrófico"),CONCATENATE("R7C",'Mapa Riesgos'!$P$51),"")</f>
        <v/>
      </c>
      <c r="AK52" s="48" t="str">
        <f>IF(AND('Mapa Riesgos'!$Z$52="Muy Baja",'Mapa Riesgos'!$AB$52="Catastrófico"),CONCATENATE("R7C",'Mapa Riesgos'!$P$52),"")</f>
        <v/>
      </c>
      <c r="AL52" s="48" t="str">
        <f>IF(AND('Mapa Riesgos'!$Z$53="Muy Baja",'Mapa Riesgos'!$AB$53="Catastrófico"),CONCATENATE("R7C",'Mapa Riesgos'!$P$53),"")</f>
        <v/>
      </c>
      <c r="AM52" s="49" t="str">
        <f>IF(AND('Mapa Riesgos'!$Z$54="Muy Baja",'Mapa Riesgos'!$AB$54="Catastrófico"),CONCATENATE("R7C",'Mapa Riesgos'!$P$54),"")</f>
        <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c r="A53" s="76"/>
      <c r="B53" s="477"/>
      <c r="C53" s="477"/>
      <c r="D53" s="478"/>
      <c r="E53" s="518"/>
      <c r="F53" s="519"/>
      <c r="G53" s="519"/>
      <c r="H53" s="519"/>
      <c r="I53" s="520"/>
      <c r="J53" s="69" t="str">
        <f ca="1">IF(AND('Mapa Riesgos'!$Z$55="Muy Baja",'Mapa Riesgos'!$AB$55="Leve"),CONCATENATE("R8C",'Mapa Riesgos'!$P$55),"")</f>
        <v/>
      </c>
      <c r="K53" s="70" t="str">
        <f ca="1">IF(AND('Mapa Riesgos'!$Z$56="Muy Baja",'Mapa Riesgos'!$AB$56="Leve"),CONCATENATE("R8C",'Mapa Riesgos'!$P$56),"")</f>
        <v/>
      </c>
      <c r="L53" s="70" t="str">
        <f>IF(AND('Mapa Riesgos'!$Z$57="Muy Baja",'Mapa Riesgos'!$AB$57="Leve"),CONCATENATE("R8C",'Mapa Riesgos'!$P$57),"")</f>
        <v/>
      </c>
      <c r="M53" s="70" t="str">
        <f>IF(AND('Mapa Riesgos'!$Z$58="Muy Baja",'Mapa Riesgos'!$AB$58="Leve"),CONCATENATE("R8C",'Mapa Riesgos'!$P$58),"")</f>
        <v/>
      </c>
      <c r="N53" s="70" t="str">
        <f>IF(AND('Mapa Riesgos'!$Z$59="Muy Baja",'Mapa Riesgos'!$AB$59="Leve"),CONCATENATE("R8C",'Mapa Riesgos'!$P$59),"")</f>
        <v/>
      </c>
      <c r="O53" s="71" t="str">
        <f>IF(AND('Mapa Riesgos'!$Z$60="Muy Baja",'Mapa Riesgos'!$AB$60="Leve"),CONCATENATE("R8C",'Mapa Riesgos'!$P$60),"")</f>
        <v/>
      </c>
      <c r="P53" s="69" t="str">
        <f ca="1">IF(AND('Mapa Riesgos'!$Z$55="Muy Baja",'Mapa Riesgos'!$AB$55="Menor"),CONCATENATE("R8C",'Mapa Riesgos'!$P$55),"")</f>
        <v/>
      </c>
      <c r="Q53" s="70" t="str">
        <f ca="1">IF(AND('Mapa Riesgos'!$Z$56="Muy Baja",'Mapa Riesgos'!$AB$56="Menor"),CONCATENATE("R8C",'Mapa Riesgos'!$P$56),"")</f>
        <v/>
      </c>
      <c r="R53" s="70" t="str">
        <f>IF(AND('Mapa Riesgos'!$Z$57="Muy Baja",'Mapa Riesgos'!$AB$57="Menor"),CONCATENATE("R8C",'Mapa Riesgos'!$P$57),"")</f>
        <v/>
      </c>
      <c r="S53" s="70" t="str">
        <f>IF(AND('Mapa Riesgos'!$Z$58="Muy Baja",'Mapa Riesgos'!$AB$58="Menor"),CONCATENATE("R8C",'Mapa Riesgos'!$P$58),"")</f>
        <v/>
      </c>
      <c r="T53" s="70" t="str">
        <f>IF(AND('Mapa Riesgos'!$Z$59="Muy Baja",'Mapa Riesgos'!$AB$59="Menor"),CONCATENATE("R8C",'Mapa Riesgos'!$P$59),"")</f>
        <v/>
      </c>
      <c r="U53" s="71" t="str">
        <f>IF(AND('Mapa Riesgos'!$Z$60="Muy Baja",'Mapa Riesgos'!$AB$60="Menor"),CONCATENATE("R8C",'Mapa Riesgos'!$P$60),"")</f>
        <v/>
      </c>
      <c r="V53" s="60" t="str">
        <f ca="1">IF(AND('Mapa Riesgos'!$Z$55="Muy Baja",'Mapa Riesgos'!$AB$55="Moderado"),CONCATENATE("R8C",'Mapa Riesgos'!$P$55),"")</f>
        <v>R8C1</v>
      </c>
      <c r="W53" s="61" t="str">
        <f ca="1">IF(AND('Mapa Riesgos'!$Z$56="Muy Baja",'Mapa Riesgos'!$AB$56="Moderado"),CONCATENATE("R8C",'Mapa Riesgos'!$P$56),"")</f>
        <v>R8C2</v>
      </c>
      <c r="X53" s="61" t="str">
        <f>IF(AND('Mapa Riesgos'!$Z$57="Muy Baja",'Mapa Riesgos'!$AB$57="Moderado"),CONCATENATE("R8C",'Mapa Riesgos'!$P$57),"")</f>
        <v/>
      </c>
      <c r="Y53" s="61" t="str">
        <f>IF(AND('Mapa Riesgos'!$Z$58="Muy Baja",'Mapa Riesgos'!$AB$58="Moderado"),CONCATENATE("R8C",'Mapa Riesgos'!$P$58),"")</f>
        <v/>
      </c>
      <c r="Z53" s="61" t="str">
        <f>IF(AND('Mapa Riesgos'!$Z$59="Muy Baja",'Mapa Riesgos'!$AB$59="Moderado"),CONCATENATE("R8C",'Mapa Riesgos'!$P$59),"")</f>
        <v/>
      </c>
      <c r="AA53" s="62" t="str">
        <f>IF(AND('Mapa Riesgos'!$Z$60="Muy Baja",'Mapa Riesgos'!$AB$60="Moderado"),CONCATENATE("R8C",'Mapa Riesgos'!$P$60),"")</f>
        <v/>
      </c>
      <c r="AB53" s="44" t="str">
        <f ca="1">IF(AND('Mapa Riesgos'!$Z$55="Muy Baja",'Mapa Riesgos'!$AB$55="Mayor"),CONCATENATE("R8C",'Mapa Riesgos'!$P$55),"")</f>
        <v/>
      </c>
      <c r="AC53" s="45" t="str">
        <f ca="1">IF(AND('Mapa Riesgos'!$Z$56="Muy Baja",'Mapa Riesgos'!$AB$56="Mayor"),CONCATENATE("R8C",'Mapa Riesgos'!$P$56),"")</f>
        <v/>
      </c>
      <c r="AD53" s="50" t="str">
        <f>IF(AND('Mapa Riesgos'!$Z$57="Muy Baja",'Mapa Riesgos'!$AB$57="Mayor"),CONCATENATE("R8C",'Mapa Riesgos'!$P$57),"")</f>
        <v/>
      </c>
      <c r="AE53" s="50" t="str">
        <f>IF(AND('Mapa Riesgos'!$Z$58="Muy Baja",'Mapa Riesgos'!$AB$58="Mayor"),CONCATENATE("R8C",'Mapa Riesgos'!$P$58),"")</f>
        <v/>
      </c>
      <c r="AF53" s="50" t="str">
        <f>IF(AND('Mapa Riesgos'!$Z$59="Muy Baja",'Mapa Riesgos'!$AB$59="Mayor"),CONCATENATE("R8C",'Mapa Riesgos'!$P$59),"")</f>
        <v/>
      </c>
      <c r="AG53" s="46" t="str">
        <f>IF(AND('Mapa Riesgos'!$Z$60="Muy Baja",'Mapa Riesgos'!$AB$60="Mayor"),CONCATENATE("R8C",'Mapa Riesgos'!$P$60),"")</f>
        <v/>
      </c>
      <c r="AH53" s="47" t="str">
        <f ca="1">IF(AND('Mapa Riesgos'!$Z$55="Muy Baja",'Mapa Riesgos'!$AB$55="Catastrófico"),CONCATENATE("R8C",'Mapa Riesgos'!$P$55),"")</f>
        <v/>
      </c>
      <c r="AI53" s="48" t="str">
        <f ca="1">IF(AND('Mapa Riesgos'!$Z$56="Muy Baja",'Mapa Riesgos'!$AB$56="Catastrófico"),CONCATENATE("R8C",'Mapa Riesgos'!$P$56),"")</f>
        <v/>
      </c>
      <c r="AJ53" s="48" t="str">
        <f>IF(AND('Mapa Riesgos'!$Z$57="Muy Baja",'Mapa Riesgos'!$AB$57="Catastrófico"),CONCATENATE("R8C",'Mapa Riesgos'!$P$57),"")</f>
        <v/>
      </c>
      <c r="AK53" s="48" t="str">
        <f>IF(AND('Mapa Riesgos'!$Z$58="Muy Baja",'Mapa Riesgos'!$AB$58="Catastrófico"),CONCATENATE("R8C",'Mapa Riesgos'!$P$58),"")</f>
        <v/>
      </c>
      <c r="AL53" s="48" t="str">
        <f>IF(AND('Mapa Riesgos'!$Z$59="Muy Baja",'Mapa Riesgos'!$AB$59="Catastrófico"),CONCATENATE("R8C",'Mapa Riesgos'!$P$59),"")</f>
        <v/>
      </c>
      <c r="AM53" s="49" t="str">
        <f>IF(AND('Mapa Riesgos'!$Z$60="Muy Baja",'Mapa Riesgos'!$AB$60="Catastrófico"),CONCATENATE("R8C",'Mapa Riesgos'!$P$60),"")</f>
        <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c r="A54" s="76"/>
      <c r="B54" s="477"/>
      <c r="C54" s="477"/>
      <c r="D54" s="478"/>
      <c r="E54" s="518"/>
      <c r="F54" s="519"/>
      <c r="G54" s="519"/>
      <c r="H54" s="519"/>
      <c r="I54" s="520"/>
      <c r="J54" s="69" t="str">
        <f ca="1">IF(AND('Mapa Riesgos'!$Z$61="Muy Baja",'Mapa Riesgos'!$AB$61="Leve"),CONCATENATE("R9C",'Mapa Riesgos'!$P$61),"")</f>
        <v/>
      </c>
      <c r="K54" s="70" t="str">
        <f ca="1">IF(AND('Mapa Riesgos'!$Z$62="Muy Baja",'Mapa Riesgos'!$AB$62="Leve"),CONCATENATE("R9C",'Mapa Riesgos'!$P$62),"")</f>
        <v/>
      </c>
      <c r="L54" s="70" t="str">
        <f>IF(AND('Mapa Riesgos'!$Z$63="Muy Baja",'Mapa Riesgos'!$AB$63="Leve"),CONCATENATE("R9C",'Mapa Riesgos'!$P$63),"")</f>
        <v/>
      </c>
      <c r="M54" s="70" t="str">
        <f>IF(AND('Mapa Riesgos'!$Z$64="Muy Baja",'Mapa Riesgos'!$AB$64="Leve"),CONCATENATE("R9C",'Mapa Riesgos'!$P$64),"")</f>
        <v/>
      </c>
      <c r="N54" s="70" t="str">
        <f>IF(AND('Mapa Riesgos'!$Z$65="Muy Baja",'Mapa Riesgos'!$AB$65="Leve"),CONCATENATE("R9C",'Mapa Riesgos'!$P$65),"")</f>
        <v/>
      </c>
      <c r="O54" s="71" t="str">
        <f>IF(AND('Mapa Riesgos'!$Z$66="Muy Baja",'Mapa Riesgos'!$AB$66="Leve"),CONCATENATE("R9C",'Mapa Riesgos'!$P$66),"")</f>
        <v/>
      </c>
      <c r="P54" s="69" t="str">
        <f ca="1">IF(AND('Mapa Riesgos'!$Z$61="Muy Baja",'Mapa Riesgos'!$AB$61="Menor"),CONCATENATE("R9C",'Mapa Riesgos'!$P$61),"")</f>
        <v/>
      </c>
      <c r="Q54" s="70" t="str">
        <f ca="1">IF(AND('Mapa Riesgos'!$Z$62="Muy Baja",'Mapa Riesgos'!$AB$62="Menor"),CONCATENATE("R9C",'Mapa Riesgos'!$P$62),"")</f>
        <v/>
      </c>
      <c r="R54" s="70" t="str">
        <f>IF(AND('Mapa Riesgos'!$Z$63="Muy Baja",'Mapa Riesgos'!$AB$63="Menor"),CONCATENATE("R9C",'Mapa Riesgos'!$P$63),"")</f>
        <v/>
      </c>
      <c r="S54" s="70" t="str">
        <f>IF(AND('Mapa Riesgos'!$Z$64="Muy Baja",'Mapa Riesgos'!$AB$64="Menor"),CONCATENATE("R9C",'Mapa Riesgos'!$P$64),"")</f>
        <v/>
      </c>
      <c r="T54" s="70" t="str">
        <f>IF(AND('Mapa Riesgos'!$Z$65="Muy Baja",'Mapa Riesgos'!$AB$65="Menor"),CONCATENATE("R9C",'Mapa Riesgos'!$P$65),"")</f>
        <v/>
      </c>
      <c r="U54" s="71" t="str">
        <f>IF(AND('Mapa Riesgos'!$Z$66="Muy Baja",'Mapa Riesgos'!$AB$66="Menor"),CONCATENATE("R9C",'Mapa Riesgos'!$P$66),"")</f>
        <v/>
      </c>
      <c r="V54" s="60" t="str">
        <f ca="1">IF(AND('Mapa Riesgos'!$Z$61="Muy Baja",'Mapa Riesgos'!$AB$61="Moderado"),CONCATENATE("R9C",'Mapa Riesgos'!$P$61),"")</f>
        <v>R9C1</v>
      </c>
      <c r="W54" s="61" t="str">
        <f ca="1">IF(AND('Mapa Riesgos'!$Z$62="Muy Baja",'Mapa Riesgos'!$AB$62="Moderado"),CONCATENATE("R9C",'Mapa Riesgos'!$P$62),"")</f>
        <v>R9C2</v>
      </c>
      <c r="X54" s="61" t="str">
        <f>IF(AND('Mapa Riesgos'!$Z$63="Muy Baja",'Mapa Riesgos'!$AB$63="Moderado"),CONCATENATE("R9C",'Mapa Riesgos'!$P$63),"")</f>
        <v/>
      </c>
      <c r="Y54" s="61" t="str">
        <f>IF(AND('Mapa Riesgos'!$Z$64="Muy Baja",'Mapa Riesgos'!$AB$64="Moderado"),CONCATENATE("R9C",'Mapa Riesgos'!$P$64),"")</f>
        <v/>
      </c>
      <c r="Z54" s="61" t="str">
        <f>IF(AND('Mapa Riesgos'!$Z$65="Muy Baja",'Mapa Riesgos'!$AB$65="Moderado"),CONCATENATE("R9C",'Mapa Riesgos'!$P$65),"")</f>
        <v/>
      </c>
      <c r="AA54" s="62" t="str">
        <f>IF(AND('Mapa Riesgos'!$Z$66="Muy Baja",'Mapa Riesgos'!$AB$66="Moderado"),CONCATENATE("R9C",'Mapa Riesgos'!$P$66),"")</f>
        <v/>
      </c>
      <c r="AB54" s="44" t="str">
        <f ca="1">IF(AND('Mapa Riesgos'!$Z$61="Muy Baja",'Mapa Riesgos'!$AB$61="Mayor"),CONCATENATE("R9C",'Mapa Riesgos'!$P$61),"")</f>
        <v/>
      </c>
      <c r="AC54" s="45" t="str">
        <f ca="1">IF(AND('Mapa Riesgos'!$Z$62="Muy Baja",'Mapa Riesgos'!$AB$62="Mayor"),CONCATENATE("R9C",'Mapa Riesgos'!$P$62),"")</f>
        <v/>
      </c>
      <c r="AD54" s="50" t="str">
        <f>IF(AND('Mapa Riesgos'!$Z$63="Muy Baja",'Mapa Riesgos'!$AB$63="Mayor"),CONCATENATE("R9C",'Mapa Riesgos'!$P$63),"")</f>
        <v/>
      </c>
      <c r="AE54" s="50" t="str">
        <f>IF(AND('Mapa Riesgos'!$Z$64="Muy Baja",'Mapa Riesgos'!$AB$64="Mayor"),CONCATENATE("R9C",'Mapa Riesgos'!$P$64),"")</f>
        <v/>
      </c>
      <c r="AF54" s="50" t="str">
        <f>IF(AND('Mapa Riesgos'!$Z$65="Muy Baja",'Mapa Riesgos'!$AB$65="Mayor"),CONCATENATE("R9C",'Mapa Riesgos'!$P$65),"")</f>
        <v/>
      </c>
      <c r="AG54" s="46" t="str">
        <f>IF(AND('Mapa Riesgos'!$Z$66="Muy Baja",'Mapa Riesgos'!$AB$66="Mayor"),CONCATENATE("R9C",'Mapa Riesgos'!$P$66),"")</f>
        <v/>
      </c>
      <c r="AH54" s="47" t="str">
        <f ca="1">IF(AND('Mapa Riesgos'!$Z$61="Muy Baja",'Mapa Riesgos'!$AB$61="Catastrófico"),CONCATENATE("R9C",'Mapa Riesgos'!$P$61),"")</f>
        <v/>
      </c>
      <c r="AI54" s="48" t="str">
        <f ca="1">IF(AND('Mapa Riesgos'!$Z$62="Muy Baja",'Mapa Riesgos'!$AB$62="Catastrófico"),CONCATENATE("R9C",'Mapa Riesgos'!$P$62),"")</f>
        <v/>
      </c>
      <c r="AJ54" s="48" t="str">
        <f>IF(AND('Mapa Riesgos'!$Z$63="Muy Baja",'Mapa Riesgos'!$AB$63="Catastrófico"),CONCATENATE("R9C",'Mapa Riesgos'!$P$63),"")</f>
        <v/>
      </c>
      <c r="AK54" s="48" t="str">
        <f>IF(AND('Mapa Riesgos'!$Z$64="Muy Baja",'Mapa Riesgos'!$AB$64="Catastrófico"),CONCATENATE("R9C",'Mapa Riesgos'!$P$64),"")</f>
        <v/>
      </c>
      <c r="AL54" s="48" t="str">
        <f>IF(AND('Mapa Riesgos'!$Z$65="Muy Baja",'Mapa Riesgos'!$AB$65="Catastrófico"),CONCATENATE("R9C",'Mapa Riesgos'!$P$65),"")</f>
        <v/>
      </c>
      <c r="AM54" s="49" t="str">
        <f>IF(AND('Mapa Riesgos'!$Z$66="Muy Baja",'Mapa Riesgos'!$AB$66="Catastrófico"),CONCATENATE("R9C",'Mapa Riesgos'!$P$66),"")</f>
        <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c r="A55" s="76"/>
      <c r="B55" s="477"/>
      <c r="C55" s="477"/>
      <c r="D55" s="478"/>
      <c r="E55" s="521"/>
      <c r="F55" s="522"/>
      <c r="G55" s="522"/>
      <c r="H55" s="522"/>
      <c r="I55" s="523"/>
      <c r="J55" s="72" t="str">
        <f>IF(AND('Mapa Riesgos'!$Z$67="Muy Baja",'Mapa Riesgos'!$AB$67="Leve"),CONCATENATE("R10C",'Mapa Riesgos'!$P$67),"")</f>
        <v/>
      </c>
      <c r="K55" s="73" t="str">
        <f>IF(AND('Mapa Riesgos'!$Z$68="Muy Baja",'Mapa Riesgos'!$AB$68="Leve"),CONCATENATE("R10C",'Mapa Riesgos'!$P$68),"")</f>
        <v/>
      </c>
      <c r="L55" s="73" t="str">
        <f>IF(AND('Mapa Riesgos'!$Z$69="Muy Baja",'Mapa Riesgos'!$AB$69="Leve"),CONCATENATE("R10C",'Mapa Riesgos'!$P$69),"")</f>
        <v/>
      </c>
      <c r="M55" s="73" t="str">
        <f>IF(AND('Mapa Riesgos'!$Z$70="Muy Baja",'Mapa Riesgos'!$AB$70="Leve"),CONCATENATE("R10C",'Mapa Riesgos'!$P$70),"")</f>
        <v/>
      </c>
      <c r="N55" s="73" t="str">
        <f>IF(AND('Mapa Riesgos'!$Z$71="Muy Baja",'Mapa Riesgos'!$AB$71="Leve"),CONCATENATE("R10C",'Mapa Riesgos'!$P$71),"")</f>
        <v/>
      </c>
      <c r="O55" s="74" t="str">
        <f>IF(AND('Mapa Riesgos'!$Z$72="Muy Baja",'Mapa Riesgos'!$AB$72="Leve"),CONCATENATE("R10C",'Mapa Riesgos'!$P$72),"")</f>
        <v/>
      </c>
      <c r="P55" s="72" t="str">
        <f>IF(AND('Mapa Riesgos'!$Z$67="Muy Baja",'Mapa Riesgos'!$AB$67="Menor"),CONCATENATE("R10C",'Mapa Riesgos'!$P$67),"")</f>
        <v/>
      </c>
      <c r="Q55" s="73" t="str">
        <f>IF(AND('Mapa Riesgos'!$Z$68="Muy Baja",'Mapa Riesgos'!$AB$68="Menor"),CONCATENATE("R10C",'Mapa Riesgos'!$P$68),"")</f>
        <v/>
      </c>
      <c r="R55" s="73" t="str">
        <f>IF(AND('Mapa Riesgos'!$Z$69="Muy Baja",'Mapa Riesgos'!$AB$69="Menor"),CONCATENATE("R10C",'Mapa Riesgos'!$P$69),"")</f>
        <v/>
      </c>
      <c r="S55" s="73" t="str">
        <f>IF(AND('Mapa Riesgos'!$Z$70="Muy Baja",'Mapa Riesgos'!$AB$70="Menor"),CONCATENATE("R10C",'Mapa Riesgos'!$P$70),"")</f>
        <v/>
      </c>
      <c r="T55" s="73" t="str">
        <f>IF(AND('Mapa Riesgos'!$Z$71="Muy Baja",'Mapa Riesgos'!$AB$71="Menor"),CONCATENATE("R10C",'Mapa Riesgos'!$P$71),"")</f>
        <v/>
      </c>
      <c r="U55" s="74" t="str">
        <f>IF(AND('Mapa Riesgos'!$Z$72="Muy Baja",'Mapa Riesgos'!$AB$72="Menor"),CONCATENATE("R10C",'Mapa Riesgos'!$P$72),"")</f>
        <v/>
      </c>
      <c r="V55" s="63" t="str">
        <f>IF(AND('Mapa Riesgos'!$Z$67="Muy Baja",'Mapa Riesgos'!$AB$67="Moderado"),CONCATENATE("R10C",'Mapa Riesgos'!$P$67),"")</f>
        <v/>
      </c>
      <c r="W55" s="64" t="str">
        <f>IF(AND('Mapa Riesgos'!$Z$68="Muy Baja",'Mapa Riesgos'!$AB$68="Moderado"),CONCATENATE("R10C",'Mapa Riesgos'!$P$68),"")</f>
        <v/>
      </c>
      <c r="X55" s="64" t="str">
        <f>IF(AND('Mapa Riesgos'!$Z$69="Muy Baja",'Mapa Riesgos'!$AB$69="Moderado"),CONCATENATE("R10C",'Mapa Riesgos'!$P$69),"")</f>
        <v/>
      </c>
      <c r="Y55" s="64" t="str">
        <f>IF(AND('Mapa Riesgos'!$Z$70="Muy Baja",'Mapa Riesgos'!$AB$70="Moderado"),CONCATENATE("R10C",'Mapa Riesgos'!$P$70),"")</f>
        <v>R10C4</v>
      </c>
      <c r="Z55" s="64" t="str">
        <f>IF(AND('Mapa Riesgos'!$Z$71="Muy Baja",'Mapa Riesgos'!$AB$71="Moderado"),CONCATENATE("R10C",'Mapa Riesgos'!$P$71),"")</f>
        <v>R10C5</v>
      </c>
      <c r="AA55" s="65" t="str">
        <f>IF(AND('Mapa Riesgos'!$Z$72="Muy Baja",'Mapa Riesgos'!$AB$72="Moderado"),CONCATENATE("R10C",'Mapa Riesgos'!$P$72),"")</f>
        <v/>
      </c>
      <c r="AB55" s="51" t="str">
        <f>IF(AND('Mapa Riesgos'!$Z$67="Muy Baja",'Mapa Riesgos'!$AB$67="Mayor"),CONCATENATE("R10C",'Mapa Riesgos'!$P$67),"")</f>
        <v/>
      </c>
      <c r="AC55" s="52" t="str">
        <f>IF(AND('Mapa Riesgos'!$Z$68="Muy Baja",'Mapa Riesgos'!$AB$68="Mayor"),CONCATENATE("R10C",'Mapa Riesgos'!$P$68),"")</f>
        <v/>
      </c>
      <c r="AD55" s="52" t="str">
        <f>IF(AND('Mapa Riesgos'!$Z$69="Muy Baja",'Mapa Riesgos'!$AB$69="Mayor"),CONCATENATE("R10C",'Mapa Riesgos'!$P$69),"")</f>
        <v/>
      </c>
      <c r="AE55" s="52" t="str">
        <f>IF(AND('Mapa Riesgos'!$Z$70="Muy Baja",'Mapa Riesgos'!$AB$70="Mayor"),CONCATENATE("R10C",'Mapa Riesgos'!$P$70),"")</f>
        <v/>
      </c>
      <c r="AF55" s="52" t="str">
        <f>IF(AND('Mapa Riesgos'!$Z$71="Muy Baja",'Mapa Riesgos'!$AB$71="Mayor"),CONCATENATE("R10C",'Mapa Riesgos'!$P$71),"")</f>
        <v/>
      </c>
      <c r="AG55" s="53" t="str">
        <f>IF(AND('Mapa Riesgos'!$Z$72="Muy Baja",'Mapa Riesgos'!$AB$72="Mayor"),CONCATENATE("R10C",'Mapa Riesgos'!$P$72),"")</f>
        <v/>
      </c>
      <c r="AH55" s="54" t="str">
        <f>IF(AND('Mapa Riesgos'!$Z$67="Muy Baja",'Mapa Riesgos'!$AB$67="Catastrófico"),CONCATENATE("R10C",'Mapa Riesgos'!$P$67),"")</f>
        <v/>
      </c>
      <c r="AI55" s="55" t="str">
        <f>IF(AND('Mapa Riesgos'!$Z$68="Muy Baja",'Mapa Riesgos'!$AB$68="Catastrófico"),CONCATENATE("R10C",'Mapa Riesgos'!$P$68),"")</f>
        <v/>
      </c>
      <c r="AJ55" s="55" t="str">
        <f>IF(AND('Mapa Riesgos'!$Z$69="Muy Baja",'Mapa Riesgos'!$AB$69="Catastrófico"),CONCATENATE("R10C",'Mapa Riesgos'!$P$69),"")</f>
        <v/>
      </c>
      <c r="AK55" s="55" t="str">
        <f>IF(AND('Mapa Riesgos'!$Z$70="Muy Baja",'Mapa Riesgos'!$AB$70="Catastrófico"),CONCATENATE("R10C",'Mapa Riesgos'!$P$70),"")</f>
        <v/>
      </c>
      <c r="AL55" s="55" t="str">
        <f>IF(AND('Mapa Riesgos'!$Z$71="Muy Baja",'Mapa Riesgos'!$AB$71="Catastrófico"),CONCATENATE("R10C",'Mapa Riesgos'!$P$71),"")</f>
        <v/>
      </c>
      <c r="AM55" s="56" t="str">
        <f>IF(AND('Mapa Riesgos'!$Z$72="Muy Baja",'Mapa Riesgos'!$AB$72="Catastrófico"),CONCATENATE("R10C",'Mapa Riesgos'!$P$72),"")</f>
        <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c r="A56" s="76"/>
      <c r="B56" s="76"/>
      <c r="C56" s="76"/>
      <c r="D56" s="76"/>
      <c r="E56" s="76"/>
      <c r="F56" s="76"/>
      <c r="G56" s="76"/>
      <c r="H56" s="76"/>
      <c r="I56" s="76"/>
      <c r="J56" s="515" t="s">
        <v>104</v>
      </c>
      <c r="K56" s="516"/>
      <c r="L56" s="516"/>
      <c r="M56" s="516"/>
      <c r="N56" s="516"/>
      <c r="O56" s="517"/>
      <c r="P56" s="515" t="s">
        <v>103</v>
      </c>
      <c r="Q56" s="516"/>
      <c r="R56" s="516"/>
      <c r="S56" s="516"/>
      <c r="T56" s="516"/>
      <c r="U56" s="517"/>
      <c r="V56" s="515" t="s">
        <v>102</v>
      </c>
      <c r="W56" s="516"/>
      <c r="X56" s="516"/>
      <c r="Y56" s="516"/>
      <c r="Z56" s="516"/>
      <c r="AA56" s="517"/>
      <c r="AB56" s="515" t="s">
        <v>101</v>
      </c>
      <c r="AC56" s="524"/>
      <c r="AD56" s="516"/>
      <c r="AE56" s="516"/>
      <c r="AF56" s="516"/>
      <c r="AG56" s="517"/>
      <c r="AH56" s="515" t="s">
        <v>100</v>
      </c>
      <c r="AI56" s="516"/>
      <c r="AJ56" s="516"/>
      <c r="AK56" s="516"/>
      <c r="AL56" s="516"/>
      <c r="AM56" s="517"/>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c r="A57" s="76"/>
      <c r="B57" s="76"/>
      <c r="C57" s="76"/>
      <c r="D57" s="76"/>
      <c r="E57" s="76"/>
      <c r="F57" s="76"/>
      <c r="G57" s="76"/>
      <c r="H57" s="76"/>
      <c r="I57" s="76"/>
      <c r="J57" s="518"/>
      <c r="K57" s="519"/>
      <c r="L57" s="519"/>
      <c r="M57" s="519"/>
      <c r="N57" s="519"/>
      <c r="O57" s="520"/>
      <c r="P57" s="518"/>
      <c r="Q57" s="519"/>
      <c r="R57" s="519"/>
      <c r="S57" s="519"/>
      <c r="T57" s="519"/>
      <c r="U57" s="520"/>
      <c r="V57" s="518"/>
      <c r="W57" s="519"/>
      <c r="X57" s="519"/>
      <c r="Y57" s="519"/>
      <c r="Z57" s="519"/>
      <c r="AA57" s="520"/>
      <c r="AB57" s="518"/>
      <c r="AC57" s="519"/>
      <c r="AD57" s="519"/>
      <c r="AE57" s="519"/>
      <c r="AF57" s="519"/>
      <c r="AG57" s="520"/>
      <c r="AH57" s="518"/>
      <c r="AI57" s="519"/>
      <c r="AJ57" s="519"/>
      <c r="AK57" s="519"/>
      <c r="AL57" s="519"/>
      <c r="AM57" s="520"/>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c r="A58" s="76"/>
      <c r="B58" s="76"/>
      <c r="C58" s="76"/>
      <c r="D58" s="76"/>
      <c r="E58" s="76"/>
      <c r="F58" s="76"/>
      <c r="G58" s="76"/>
      <c r="H58" s="76"/>
      <c r="I58" s="76"/>
      <c r="J58" s="518"/>
      <c r="K58" s="519"/>
      <c r="L58" s="519"/>
      <c r="M58" s="519"/>
      <c r="N58" s="519"/>
      <c r="O58" s="520"/>
      <c r="P58" s="518"/>
      <c r="Q58" s="519"/>
      <c r="R58" s="519"/>
      <c r="S58" s="519"/>
      <c r="T58" s="519"/>
      <c r="U58" s="520"/>
      <c r="V58" s="518"/>
      <c r="W58" s="519"/>
      <c r="X58" s="519"/>
      <c r="Y58" s="519"/>
      <c r="Z58" s="519"/>
      <c r="AA58" s="520"/>
      <c r="AB58" s="518"/>
      <c r="AC58" s="519"/>
      <c r="AD58" s="519"/>
      <c r="AE58" s="519"/>
      <c r="AF58" s="519"/>
      <c r="AG58" s="520"/>
      <c r="AH58" s="518"/>
      <c r="AI58" s="519"/>
      <c r="AJ58" s="519"/>
      <c r="AK58" s="519"/>
      <c r="AL58" s="519"/>
      <c r="AM58" s="520"/>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c r="A59" s="76"/>
      <c r="B59" s="76"/>
      <c r="C59" s="76"/>
      <c r="D59" s="76"/>
      <c r="E59" s="76"/>
      <c r="F59" s="76"/>
      <c r="G59" s="76"/>
      <c r="H59" s="76"/>
      <c r="I59" s="76"/>
      <c r="J59" s="518"/>
      <c r="K59" s="519"/>
      <c r="L59" s="519"/>
      <c r="M59" s="519"/>
      <c r="N59" s="519"/>
      <c r="O59" s="520"/>
      <c r="P59" s="518"/>
      <c r="Q59" s="519"/>
      <c r="R59" s="519"/>
      <c r="S59" s="519"/>
      <c r="T59" s="519"/>
      <c r="U59" s="520"/>
      <c r="V59" s="518"/>
      <c r="W59" s="519"/>
      <c r="X59" s="519"/>
      <c r="Y59" s="519"/>
      <c r="Z59" s="519"/>
      <c r="AA59" s="520"/>
      <c r="AB59" s="518"/>
      <c r="AC59" s="519"/>
      <c r="AD59" s="519"/>
      <c r="AE59" s="519"/>
      <c r="AF59" s="519"/>
      <c r="AG59" s="520"/>
      <c r="AH59" s="518"/>
      <c r="AI59" s="519"/>
      <c r="AJ59" s="519"/>
      <c r="AK59" s="519"/>
      <c r="AL59" s="519"/>
      <c r="AM59" s="520"/>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c r="A60" s="76"/>
      <c r="B60" s="76"/>
      <c r="C60" s="76"/>
      <c r="D60" s="76"/>
      <c r="E60" s="76"/>
      <c r="F60" s="76"/>
      <c r="G60" s="76"/>
      <c r="H60" s="76"/>
      <c r="I60" s="76"/>
      <c r="J60" s="518"/>
      <c r="K60" s="519"/>
      <c r="L60" s="519"/>
      <c r="M60" s="519"/>
      <c r="N60" s="519"/>
      <c r="O60" s="520"/>
      <c r="P60" s="518"/>
      <c r="Q60" s="519"/>
      <c r="R60" s="519"/>
      <c r="S60" s="519"/>
      <c r="T60" s="519"/>
      <c r="U60" s="520"/>
      <c r="V60" s="518"/>
      <c r="W60" s="519"/>
      <c r="X60" s="519"/>
      <c r="Y60" s="519"/>
      <c r="Z60" s="519"/>
      <c r="AA60" s="520"/>
      <c r="AB60" s="518"/>
      <c r="AC60" s="519"/>
      <c r="AD60" s="519"/>
      <c r="AE60" s="519"/>
      <c r="AF60" s="519"/>
      <c r="AG60" s="520"/>
      <c r="AH60" s="518"/>
      <c r="AI60" s="519"/>
      <c r="AJ60" s="519"/>
      <c r="AK60" s="519"/>
      <c r="AL60" s="519"/>
      <c r="AM60" s="520"/>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c r="A61" s="76"/>
      <c r="B61" s="76"/>
      <c r="C61" s="76"/>
      <c r="D61" s="76"/>
      <c r="E61" s="76"/>
      <c r="F61" s="76"/>
      <c r="G61" s="76"/>
      <c r="H61" s="76"/>
      <c r="I61" s="76"/>
      <c r="J61" s="521"/>
      <c r="K61" s="522"/>
      <c r="L61" s="522"/>
      <c r="M61" s="522"/>
      <c r="N61" s="522"/>
      <c r="O61" s="523"/>
      <c r="P61" s="521"/>
      <c r="Q61" s="522"/>
      <c r="R61" s="522"/>
      <c r="S61" s="522"/>
      <c r="T61" s="522"/>
      <c r="U61" s="523"/>
      <c r="V61" s="521"/>
      <c r="W61" s="522"/>
      <c r="X61" s="522"/>
      <c r="Y61" s="522"/>
      <c r="Z61" s="522"/>
      <c r="AA61" s="523"/>
      <c r="AB61" s="521"/>
      <c r="AC61" s="522"/>
      <c r="AD61" s="522"/>
      <c r="AE61" s="522"/>
      <c r="AF61" s="522"/>
      <c r="AG61" s="523"/>
      <c r="AH61" s="521"/>
      <c r="AI61" s="522"/>
      <c r="AJ61" s="522"/>
      <c r="AK61" s="522"/>
      <c r="AL61" s="522"/>
      <c r="AM61" s="523"/>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c r="A245" s="76"/>
    </row>
    <row r="246" spans="1:60">
      <c r="A246" s="76"/>
    </row>
    <row r="247" spans="1:60">
      <c r="A247" s="76"/>
    </row>
    <row r="248" spans="1:60">
      <c r="A248" s="76"/>
    </row>
  </sheetData>
  <sheetProtection algorithmName="SHA-512" hashValue="ZMJaBFZIFAUXBxlJQWITYvrXP8z5tp5l984qzOXvpHLXJ0NqCY2a9tQ/mlpPZtX4coLwz6tx3YZfWtXVylg79w==" saltValue="sPb50MyDw/vHYtgpVJ500Q=="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85" zoomScaleNormal="85" workbookViewId="0">
      <selection activeCell="C13" sqref="C13"/>
    </sheetView>
  </sheetViews>
  <sheetFormatPr baseColWidth="10" defaultRowHeight="15"/>
  <cols>
    <col min="2" max="2" width="24.140625" customWidth="1"/>
    <col min="3" max="3" width="70.140625" customWidth="1"/>
    <col min="4" max="4" width="29.85546875" customWidth="1"/>
  </cols>
  <sheetData>
    <row r="1" spans="1:37" ht="23.25">
      <c r="A1" s="76"/>
      <c r="B1" s="565" t="s">
        <v>51</v>
      </c>
      <c r="C1" s="565"/>
      <c r="D1" s="565"/>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c r="A3" s="76"/>
      <c r="B3" s="8"/>
      <c r="C3" s="9" t="s">
        <v>48</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c r="A4" s="76"/>
      <c r="B4" s="10" t="s">
        <v>47</v>
      </c>
      <c r="C4" s="11" t="s">
        <v>98</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c r="A5" s="76"/>
      <c r="B5" s="13" t="s">
        <v>49</v>
      </c>
      <c r="C5" s="14" t="s">
        <v>251</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c r="A6" s="76"/>
      <c r="B6" s="16" t="s">
        <v>99</v>
      </c>
      <c r="C6" s="14" t="s">
        <v>252</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c r="A7" s="76"/>
      <c r="B7" s="17" t="s">
        <v>6</v>
      </c>
      <c r="C7" s="14" t="s">
        <v>253</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c r="A8" s="76"/>
      <c r="B8" s="18" t="s">
        <v>50</v>
      </c>
      <c r="C8" s="14" t="s">
        <v>254</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c r="A9" s="76"/>
      <c r="B9" s="99"/>
      <c r="C9" s="99"/>
      <c r="D9" s="99"/>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c r="A10" s="76"/>
      <c r="B10" s="100"/>
      <c r="C10" s="99"/>
      <c r="D10" s="99"/>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c r="A11" s="76"/>
      <c r="B11" s="99"/>
      <c r="C11" s="99"/>
      <c r="D11" s="99"/>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c r="A12" s="76"/>
      <c r="B12" s="99"/>
      <c r="C12" s="99"/>
      <c r="D12" s="99"/>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c r="A13" s="76"/>
      <c r="B13" s="99"/>
      <c r="C13" s="99"/>
      <c r="D13" s="99"/>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c r="A14" s="76"/>
      <c r="B14" s="99"/>
      <c r="C14" s="99"/>
      <c r="D14" s="99"/>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c r="A15" s="76"/>
      <c r="B15" s="99"/>
      <c r="C15" s="99"/>
      <c r="D15" s="99"/>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c r="A16" s="76"/>
      <c r="B16" s="99"/>
      <c r="C16" s="99"/>
      <c r="D16" s="99"/>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c r="A17" s="76"/>
      <c r="B17" s="99"/>
      <c r="C17" s="99"/>
      <c r="D17" s="99"/>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c r="A18" s="76"/>
      <c r="B18" s="99"/>
      <c r="C18" s="99"/>
      <c r="D18" s="99"/>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c r="A35" s="76"/>
    </row>
    <row r="36" spans="1:31">
      <c r="A36" s="76"/>
    </row>
    <row r="37" spans="1:31">
      <c r="A37" s="76"/>
    </row>
    <row r="38" spans="1:31">
      <c r="A38" s="76"/>
    </row>
    <row r="39" spans="1:31">
      <c r="A39" s="76"/>
    </row>
    <row r="40" spans="1:31">
      <c r="A40" s="76"/>
    </row>
    <row r="41" spans="1:31">
      <c r="A41" s="76"/>
    </row>
    <row r="42" spans="1:31">
      <c r="A42" s="76"/>
    </row>
    <row r="43" spans="1:31">
      <c r="A43" s="76"/>
    </row>
    <row r="44" spans="1:31">
      <c r="A44" s="76"/>
    </row>
    <row r="45" spans="1:31">
      <c r="A45" s="76"/>
    </row>
    <row r="46" spans="1:31">
      <c r="A46" s="76"/>
    </row>
    <row r="47" spans="1:31">
      <c r="A47" s="76"/>
    </row>
    <row r="48" spans="1:31">
      <c r="A48" s="76"/>
    </row>
    <row r="49" spans="1:1">
      <c r="A49" s="76"/>
    </row>
    <row r="50" spans="1:1">
      <c r="A50" s="76"/>
    </row>
    <row r="51" spans="1:1">
      <c r="A51" s="76"/>
    </row>
    <row r="52" spans="1:1">
      <c r="A52" s="76"/>
    </row>
    <row r="53" spans="1:1">
      <c r="A53" s="76"/>
    </row>
    <row r="54" spans="1:1">
      <c r="A54" s="76"/>
    </row>
    <row r="55" spans="1:1">
      <c r="A55" s="76"/>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40" zoomScaleNormal="40" workbookViewId="0">
      <selection activeCell="C8" sqref="C8"/>
    </sheetView>
  </sheetViews>
  <sheetFormatPr baseColWidth="10" defaultRowHeight="15"/>
  <cols>
    <col min="2" max="2" width="40.42578125" customWidth="1"/>
    <col min="3" max="3" width="140.85546875" customWidth="1"/>
    <col min="4" max="4" width="168.42578125" customWidth="1"/>
    <col min="5" max="5" width="144.7109375" bestFit="1" customWidth="1"/>
  </cols>
  <sheetData>
    <row r="1" spans="1:21" ht="33.75">
      <c r="A1" s="76"/>
      <c r="B1" s="566" t="s">
        <v>59</v>
      </c>
      <c r="C1" s="566"/>
      <c r="D1" s="566"/>
      <c r="E1" s="76"/>
      <c r="F1" s="76"/>
      <c r="G1" s="76"/>
      <c r="H1" s="76"/>
      <c r="I1" s="76"/>
      <c r="J1" s="76"/>
      <c r="K1" s="76"/>
      <c r="L1" s="76"/>
      <c r="M1" s="76"/>
      <c r="N1" s="76"/>
      <c r="O1" s="76"/>
      <c r="P1" s="76"/>
      <c r="Q1" s="76"/>
      <c r="R1" s="76"/>
      <c r="S1" s="76"/>
      <c r="T1" s="76"/>
      <c r="U1" s="76"/>
    </row>
    <row r="2" spans="1:21">
      <c r="A2" s="76"/>
      <c r="B2" s="76"/>
      <c r="C2" s="76"/>
      <c r="D2" s="76"/>
      <c r="E2" s="76"/>
      <c r="F2" s="76"/>
      <c r="G2" s="76"/>
      <c r="H2" s="76"/>
      <c r="I2" s="76"/>
      <c r="J2" s="76"/>
      <c r="K2" s="76"/>
      <c r="L2" s="76"/>
      <c r="M2" s="76"/>
      <c r="N2" s="76"/>
      <c r="O2" s="76"/>
      <c r="P2" s="76"/>
      <c r="Q2" s="76"/>
      <c r="R2" s="76"/>
      <c r="S2" s="76"/>
      <c r="T2" s="76"/>
      <c r="U2" s="76"/>
    </row>
    <row r="3" spans="1:21" ht="53.25" customHeight="1">
      <c r="A3" s="76"/>
      <c r="B3" s="97"/>
      <c r="C3" s="28" t="s">
        <v>52</v>
      </c>
      <c r="D3" s="28" t="s">
        <v>53</v>
      </c>
      <c r="E3" s="76"/>
      <c r="F3" s="76"/>
      <c r="G3" s="76"/>
      <c r="H3" s="76"/>
      <c r="I3" s="76"/>
      <c r="J3" s="76"/>
      <c r="K3" s="76"/>
      <c r="L3" s="76"/>
      <c r="M3" s="76"/>
      <c r="N3" s="76"/>
      <c r="O3" s="76"/>
      <c r="P3" s="76"/>
      <c r="Q3" s="76"/>
      <c r="R3" s="76"/>
      <c r="S3" s="76"/>
      <c r="T3" s="76"/>
      <c r="U3" s="76"/>
    </row>
    <row r="4" spans="1:21" ht="409.6" customHeight="1">
      <c r="A4" s="96" t="s">
        <v>79</v>
      </c>
      <c r="B4" s="31" t="s">
        <v>97</v>
      </c>
      <c r="C4" s="36" t="s">
        <v>194</v>
      </c>
      <c r="D4" s="29" t="s">
        <v>189</v>
      </c>
      <c r="E4" s="76"/>
      <c r="F4" s="76"/>
      <c r="G4" s="76"/>
      <c r="H4" s="76"/>
      <c r="I4" s="76"/>
      <c r="J4" s="76"/>
      <c r="K4" s="76"/>
      <c r="L4" s="76"/>
      <c r="M4" s="76"/>
      <c r="N4" s="76"/>
      <c r="O4" s="76"/>
      <c r="P4" s="76"/>
      <c r="Q4" s="76"/>
      <c r="R4" s="76"/>
      <c r="S4" s="76"/>
      <c r="T4" s="76"/>
      <c r="U4" s="76"/>
    </row>
    <row r="5" spans="1:21" ht="202.5">
      <c r="A5" s="96" t="s">
        <v>80</v>
      </c>
      <c r="B5" s="32" t="s">
        <v>55</v>
      </c>
      <c r="C5" s="37" t="s">
        <v>195</v>
      </c>
      <c r="D5" s="30" t="s">
        <v>190</v>
      </c>
      <c r="E5" s="76"/>
      <c r="F5" s="76"/>
      <c r="G5" s="76"/>
      <c r="H5" s="76"/>
      <c r="I5" s="76"/>
      <c r="J5" s="76"/>
      <c r="K5" s="76"/>
      <c r="L5" s="76"/>
      <c r="M5" s="76"/>
      <c r="N5" s="76"/>
      <c r="O5" s="76"/>
      <c r="P5" s="76"/>
      <c r="Q5" s="76"/>
      <c r="R5" s="76"/>
      <c r="S5" s="76"/>
      <c r="T5" s="76"/>
      <c r="U5" s="76"/>
    </row>
    <row r="6" spans="1:21" ht="202.5">
      <c r="A6" s="96" t="s">
        <v>77</v>
      </c>
      <c r="B6" s="33" t="s">
        <v>56</v>
      </c>
      <c r="C6" s="37" t="s">
        <v>196</v>
      </c>
      <c r="D6" s="30" t="s">
        <v>191</v>
      </c>
      <c r="E6" s="76"/>
      <c r="F6" s="76"/>
      <c r="G6" s="76"/>
      <c r="H6" s="76"/>
      <c r="I6" s="76"/>
      <c r="J6" s="76"/>
      <c r="K6" s="76"/>
      <c r="L6" s="76"/>
      <c r="M6" s="76"/>
      <c r="N6" s="76"/>
      <c r="O6" s="76"/>
      <c r="P6" s="76"/>
      <c r="Q6" s="76"/>
      <c r="R6" s="76"/>
      <c r="S6" s="76"/>
      <c r="T6" s="76"/>
      <c r="U6" s="76"/>
    </row>
    <row r="7" spans="1:21" ht="202.5">
      <c r="A7" s="96" t="s">
        <v>7</v>
      </c>
      <c r="B7" s="34" t="s">
        <v>57</v>
      </c>
      <c r="C7" s="37" t="s">
        <v>197</v>
      </c>
      <c r="D7" s="30" t="s">
        <v>192</v>
      </c>
      <c r="E7" s="76"/>
      <c r="F7" s="76"/>
      <c r="G7" s="76"/>
      <c r="H7" s="76"/>
      <c r="I7" s="76"/>
      <c r="J7" s="76"/>
      <c r="K7" s="76"/>
      <c r="L7" s="76"/>
      <c r="M7" s="76"/>
      <c r="N7" s="76"/>
      <c r="O7" s="76"/>
      <c r="P7" s="76"/>
      <c r="Q7" s="76"/>
      <c r="R7" s="76"/>
      <c r="S7" s="76"/>
      <c r="T7" s="76"/>
      <c r="U7" s="76"/>
    </row>
    <row r="8" spans="1:21" ht="202.5">
      <c r="A8" s="96" t="s">
        <v>81</v>
      </c>
      <c r="B8" s="35" t="s">
        <v>58</v>
      </c>
      <c r="C8" s="37" t="s">
        <v>198</v>
      </c>
      <c r="D8" s="30" t="s">
        <v>193</v>
      </c>
      <c r="E8" s="76"/>
      <c r="F8" s="76"/>
      <c r="G8" s="76"/>
      <c r="H8" s="76"/>
      <c r="I8" s="76"/>
      <c r="J8" s="76"/>
      <c r="K8" s="76"/>
      <c r="L8" s="76"/>
      <c r="M8" s="76"/>
      <c r="N8" s="76"/>
      <c r="O8" s="76"/>
      <c r="P8" s="76"/>
      <c r="Q8" s="76"/>
      <c r="R8" s="76"/>
      <c r="S8" s="76"/>
      <c r="T8" s="76"/>
      <c r="U8" s="76"/>
    </row>
    <row r="9" spans="1:21" ht="20.25">
      <c r="A9" s="96"/>
      <c r="B9" s="96"/>
      <c r="C9" s="115"/>
      <c r="D9" s="98"/>
      <c r="E9" s="76"/>
      <c r="F9" s="76"/>
      <c r="G9" s="76"/>
      <c r="H9" s="76"/>
      <c r="I9" s="76"/>
      <c r="J9" s="76"/>
      <c r="K9" s="76"/>
      <c r="L9" s="76"/>
      <c r="M9" s="76"/>
      <c r="N9" s="76"/>
      <c r="O9" s="76"/>
      <c r="P9" s="76"/>
      <c r="Q9" s="76"/>
      <c r="R9" s="76"/>
      <c r="S9" s="76"/>
      <c r="T9" s="76"/>
      <c r="U9" s="76"/>
    </row>
    <row r="10" spans="1:21" ht="16.5">
      <c r="A10" s="96"/>
      <c r="B10" s="116"/>
      <c r="C10" s="116"/>
      <c r="D10" s="116"/>
      <c r="E10" s="99"/>
      <c r="F10" s="76"/>
      <c r="G10" s="76"/>
      <c r="H10" s="76"/>
      <c r="I10" s="76"/>
      <c r="J10" s="76"/>
      <c r="K10" s="76"/>
      <c r="L10" s="76"/>
      <c r="M10" s="76"/>
      <c r="N10" s="76"/>
      <c r="O10" s="76"/>
      <c r="P10" s="76"/>
      <c r="Q10" s="76"/>
      <c r="R10" s="76"/>
      <c r="S10" s="76"/>
      <c r="T10" s="76"/>
      <c r="U10" s="76"/>
    </row>
    <row r="11" spans="1:21">
      <c r="A11" s="96"/>
      <c r="B11" s="96" t="s">
        <v>87</v>
      </c>
      <c r="C11" s="96" t="s">
        <v>133</v>
      </c>
      <c r="D11" s="96" t="s">
        <v>140</v>
      </c>
      <c r="E11" s="99"/>
      <c r="F11" s="76"/>
      <c r="G11" s="76"/>
      <c r="H11" s="76"/>
      <c r="I11" s="76"/>
      <c r="J11" s="76"/>
      <c r="K11" s="76"/>
      <c r="L11" s="76"/>
      <c r="M11" s="76"/>
      <c r="N11" s="76"/>
      <c r="O11" s="76"/>
      <c r="P11" s="76"/>
      <c r="Q11" s="76"/>
      <c r="R11" s="76"/>
      <c r="S11" s="76"/>
      <c r="T11" s="76"/>
      <c r="U11" s="76"/>
    </row>
    <row r="12" spans="1:21">
      <c r="A12" s="96"/>
      <c r="B12" s="96" t="s">
        <v>85</v>
      </c>
      <c r="C12" s="96" t="s">
        <v>137</v>
      </c>
      <c r="D12" s="96" t="s">
        <v>141</v>
      </c>
      <c r="E12" s="99"/>
      <c r="F12" s="76"/>
      <c r="G12" s="76"/>
      <c r="H12" s="76"/>
      <c r="I12" s="76"/>
      <c r="J12" s="76"/>
      <c r="K12" s="76"/>
      <c r="L12" s="76"/>
      <c r="M12" s="76"/>
      <c r="N12" s="76"/>
      <c r="O12" s="76"/>
      <c r="P12" s="76"/>
      <c r="Q12" s="76"/>
      <c r="R12" s="76"/>
      <c r="S12" s="76"/>
      <c r="T12" s="76"/>
      <c r="U12" s="76"/>
    </row>
    <row r="13" spans="1:21">
      <c r="A13" s="96"/>
      <c r="B13" s="96"/>
      <c r="C13" s="96" t="s">
        <v>136</v>
      </c>
      <c r="D13" s="96" t="s">
        <v>142</v>
      </c>
      <c r="E13" s="99"/>
      <c r="F13" s="76"/>
      <c r="G13" s="76"/>
      <c r="H13" s="76"/>
      <c r="I13" s="76"/>
      <c r="J13" s="76"/>
      <c r="K13" s="76"/>
      <c r="L13" s="76"/>
      <c r="M13" s="76"/>
      <c r="N13" s="76"/>
      <c r="O13" s="76"/>
      <c r="P13" s="76"/>
      <c r="Q13" s="76"/>
      <c r="R13" s="76"/>
      <c r="S13" s="76"/>
      <c r="T13" s="76"/>
      <c r="U13" s="76"/>
    </row>
    <row r="14" spans="1:21">
      <c r="A14" s="96"/>
      <c r="B14" s="96"/>
      <c r="C14" s="96" t="s">
        <v>138</v>
      </c>
      <c r="D14" s="96" t="s">
        <v>143</v>
      </c>
      <c r="E14" s="99"/>
      <c r="F14" s="76"/>
      <c r="G14" s="76"/>
      <c r="H14" s="76"/>
      <c r="I14" s="76"/>
      <c r="J14" s="76"/>
      <c r="K14" s="76"/>
      <c r="L14" s="76"/>
      <c r="M14" s="76"/>
      <c r="N14" s="76"/>
      <c r="O14" s="76"/>
      <c r="P14" s="76"/>
      <c r="Q14" s="76"/>
      <c r="R14" s="76"/>
      <c r="S14" s="76"/>
      <c r="T14" s="76"/>
      <c r="U14" s="76"/>
    </row>
    <row r="15" spans="1:21">
      <c r="A15" s="96"/>
      <c r="B15" s="96"/>
      <c r="C15" s="96" t="s">
        <v>139</v>
      </c>
      <c r="D15" s="96" t="s">
        <v>144</v>
      </c>
      <c r="E15" s="99"/>
      <c r="F15" s="76"/>
      <c r="G15" s="76"/>
      <c r="H15" s="76"/>
      <c r="I15" s="76"/>
      <c r="J15" s="76"/>
      <c r="K15" s="76"/>
      <c r="L15" s="76"/>
      <c r="M15" s="76"/>
      <c r="N15" s="76"/>
      <c r="O15" s="76"/>
      <c r="P15" s="76"/>
      <c r="Q15" s="76"/>
      <c r="R15" s="76"/>
      <c r="S15" s="76"/>
      <c r="T15" s="76"/>
      <c r="U15" s="76"/>
    </row>
    <row r="16" spans="1:21">
      <c r="A16" s="96"/>
      <c r="B16" s="96"/>
      <c r="C16" s="96"/>
      <c r="D16" s="96"/>
      <c r="E16" s="99"/>
      <c r="F16" s="76"/>
      <c r="G16" s="76"/>
      <c r="H16" s="76"/>
      <c r="I16" s="76"/>
      <c r="J16" s="76"/>
      <c r="K16" s="76"/>
      <c r="L16" s="76"/>
      <c r="M16" s="76"/>
      <c r="N16" s="76"/>
      <c r="O16" s="76"/>
    </row>
    <row r="17" spans="1:15">
      <c r="A17" s="96"/>
      <c r="B17" s="96"/>
      <c r="C17" s="96"/>
      <c r="D17" s="96"/>
      <c r="E17" s="99"/>
      <c r="F17" s="76"/>
      <c r="G17" s="76"/>
      <c r="H17" s="76"/>
      <c r="I17" s="76"/>
      <c r="J17" s="76"/>
      <c r="K17" s="76"/>
      <c r="L17" s="76"/>
      <c r="M17" s="76"/>
      <c r="N17" s="76"/>
      <c r="O17" s="76"/>
    </row>
    <row r="18" spans="1:15">
      <c r="A18" s="96"/>
      <c r="B18" s="99"/>
      <c r="C18" s="99"/>
      <c r="D18" s="99"/>
      <c r="E18" s="76"/>
      <c r="F18" s="76"/>
      <c r="G18" s="76"/>
      <c r="H18" s="76"/>
      <c r="I18" s="76"/>
      <c r="J18" s="76"/>
      <c r="K18" s="76"/>
      <c r="L18" s="76"/>
      <c r="M18" s="76"/>
      <c r="N18" s="76"/>
      <c r="O18" s="76"/>
    </row>
    <row r="19" spans="1:15">
      <c r="A19" s="96"/>
      <c r="B19" s="99"/>
      <c r="C19" s="99"/>
      <c r="D19" s="99"/>
      <c r="E19" s="76"/>
      <c r="F19" s="76"/>
      <c r="G19" s="76"/>
      <c r="H19" s="76"/>
      <c r="I19" s="76"/>
      <c r="J19" s="76"/>
      <c r="K19" s="76"/>
      <c r="L19" s="76"/>
      <c r="M19" s="76"/>
      <c r="N19" s="76"/>
      <c r="O19" s="76"/>
    </row>
    <row r="20" spans="1:15">
      <c r="A20" s="96"/>
      <c r="B20" s="99"/>
      <c r="C20" s="99"/>
      <c r="D20" s="99"/>
      <c r="E20" s="76"/>
      <c r="F20" s="76"/>
      <c r="G20" s="76"/>
      <c r="H20" s="76"/>
      <c r="I20" s="76"/>
      <c r="J20" s="76"/>
      <c r="K20" s="76"/>
      <c r="L20" s="76"/>
      <c r="M20" s="76"/>
      <c r="N20" s="76"/>
      <c r="O20" s="76"/>
    </row>
    <row r="21" spans="1:15">
      <c r="A21" s="96"/>
      <c r="B21" s="99"/>
      <c r="C21" s="99"/>
      <c r="D21" s="99"/>
      <c r="E21" s="76"/>
      <c r="F21" s="76"/>
      <c r="G21" s="76"/>
      <c r="H21" s="76"/>
      <c r="I21" s="76"/>
      <c r="J21" s="76"/>
      <c r="K21" s="76"/>
      <c r="L21" s="76"/>
      <c r="M21" s="76"/>
      <c r="N21" s="76"/>
      <c r="O21" s="76"/>
    </row>
    <row r="22" spans="1:15" ht="20.25">
      <c r="A22" s="96"/>
      <c r="B22" s="96"/>
      <c r="C22" s="115"/>
      <c r="D22" s="98"/>
      <c r="E22" s="76"/>
      <c r="F22" s="76"/>
      <c r="G22" s="76"/>
      <c r="H22" s="76"/>
      <c r="I22" s="76"/>
      <c r="J22" s="76"/>
      <c r="K22" s="76"/>
      <c r="L22" s="76"/>
      <c r="M22" s="76"/>
      <c r="N22" s="76"/>
      <c r="O22" s="76"/>
    </row>
    <row r="23" spans="1:15" ht="20.25">
      <c r="A23" s="96"/>
      <c r="B23" s="96"/>
      <c r="C23" s="115"/>
      <c r="D23" s="98"/>
      <c r="E23" s="76"/>
      <c r="F23" s="76"/>
      <c r="G23" s="76"/>
      <c r="H23" s="76"/>
      <c r="I23" s="76"/>
      <c r="J23" s="76"/>
      <c r="K23" s="76"/>
      <c r="L23" s="76"/>
      <c r="M23" s="76"/>
      <c r="N23" s="76"/>
      <c r="O23" s="76"/>
    </row>
    <row r="24" spans="1:15" ht="20.25">
      <c r="A24" s="96"/>
      <c r="B24" s="96"/>
      <c r="C24" s="115"/>
      <c r="D24" s="98"/>
      <c r="E24" s="76"/>
      <c r="F24" s="76"/>
      <c r="G24" s="76"/>
      <c r="H24" s="76"/>
      <c r="I24" s="76"/>
      <c r="J24" s="76"/>
      <c r="K24" s="76"/>
      <c r="L24" s="76"/>
      <c r="M24" s="76"/>
      <c r="N24" s="76"/>
      <c r="O24" s="76"/>
    </row>
    <row r="25" spans="1:15" ht="20.25">
      <c r="A25" s="96"/>
      <c r="B25" s="96"/>
      <c r="C25" s="115"/>
      <c r="D25" s="98"/>
      <c r="E25" s="76"/>
      <c r="F25" s="76"/>
      <c r="G25" s="76"/>
      <c r="H25" s="76"/>
      <c r="I25" s="76"/>
      <c r="J25" s="76"/>
      <c r="K25" s="76"/>
      <c r="L25" s="76"/>
      <c r="M25" s="76"/>
      <c r="N25" s="76"/>
      <c r="O25" s="76"/>
    </row>
    <row r="26" spans="1:15" ht="20.25">
      <c r="A26" s="96"/>
      <c r="B26" s="96"/>
      <c r="C26" s="115"/>
      <c r="D26" s="98"/>
      <c r="E26" s="76"/>
      <c r="F26" s="76"/>
      <c r="G26" s="76"/>
      <c r="H26" s="76"/>
      <c r="I26" s="76"/>
      <c r="J26" s="76"/>
      <c r="K26" s="76"/>
      <c r="L26" s="76"/>
      <c r="M26" s="76"/>
      <c r="N26" s="76"/>
      <c r="O26" s="76"/>
    </row>
    <row r="27" spans="1:15" ht="20.25">
      <c r="A27" s="96"/>
      <c r="B27" s="96"/>
      <c r="C27" s="115"/>
      <c r="D27" s="98"/>
      <c r="E27" s="76"/>
      <c r="F27" s="76"/>
      <c r="G27" s="76"/>
      <c r="H27" s="76"/>
      <c r="I27" s="76"/>
      <c r="J27" s="76"/>
      <c r="K27" s="76"/>
      <c r="L27" s="76"/>
      <c r="M27" s="76"/>
      <c r="N27" s="76"/>
      <c r="O27" s="76"/>
    </row>
    <row r="28" spans="1:15" ht="20.25">
      <c r="A28" s="96"/>
      <c r="B28" s="96"/>
      <c r="C28" s="115"/>
      <c r="D28" s="98"/>
      <c r="E28" s="76"/>
      <c r="F28" s="76"/>
      <c r="G28" s="76"/>
      <c r="H28" s="76"/>
      <c r="I28" s="76"/>
      <c r="J28" s="76"/>
      <c r="K28" s="76"/>
      <c r="L28" s="76"/>
      <c r="M28" s="76"/>
      <c r="N28" s="76"/>
      <c r="O28" s="76"/>
    </row>
    <row r="29" spans="1:15" ht="20.25">
      <c r="A29" s="96"/>
      <c r="B29" s="96"/>
      <c r="C29" s="115"/>
      <c r="D29" s="98"/>
      <c r="E29" s="76"/>
      <c r="F29" s="76"/>
      <c r="G29" s="76"/>
      <c r="H29" s="76"/>
      <c r="I29" s="76"/>
      <c r="J29" s="76"/>
      <c r="K29" s="76"/>
      <c r="L29" s="76"/>
      <c r="M29" s="76"/>
      <c r="N29" s="76"/>
      <c r="O29" s="76"/>
    </row>
    <row r="30" spans="1:15" ht="20.25">
      <c r="A30" s="96"/>
      <c r="B30" s="96"/>
      <c r="C30" s="115"/>
      <c r="D30" s="98"/>
      <c r="E30" s="76"/>
      <c r="F30" s="76"/>
      <c r="G30" s="76"/>
      <c r="H30" s="76"/>
      <c r="I30" s="76"/>
      <c r="J30" s="76"/>
      <c r="K30" s="76"/>
      <c r="L30" s="76"/>
      <c r="M30" s="76"/>
      <c r="N30" s="76"/>
      <c r="O30" s="76"/>
    </row>
    <row r="31" spans="1:15" ht="20.25">
      <c r="A31" s="96"/>
      <c r="B31" s="96"/>
      <c r="C31" s="115"/>
      <c r="D31" s="98"/>
      <c r="E31" s="76"/>
      <c r="F31" s="76"/>
      <c r="G31" s="76"/>
      <c r="H31" s="76"/>
      <c r="I31" s="76"/>
      <c r="J31" s="76"/>
      <c r="K31" s="76"/>
      <c r="L31" s="76"/>
      <c r="M31" s="76"/>
      <c r="N31" s="76"/>
      <c r="O31" s="76"/>
    </row>
    <row r="32" spans="1:15" ht="20.25">
      <c r="A32" s="96"/>
      <c r="B32" s="96"/>
      <c r="C32" s="115"/>
      <c r="D32" s="98"/>
      <c r="E32" s="76"/>
      <c r="F32" s="76"/>
      <c r="G32" s="76"/>
      <c r="H32" s="76"/>
      <c r="I32" s="76"/>
      <c r="J32" s="76"/>
      <c r="K32" s="76"/>
      <c r="L32" s="76"/>
      <c r="M32" s="76"/>
      <c r="N32" s="76"/>
      <c r="O32" s="76"/>
    </row>
    <row r="33" spans="1:15" ht="20.25">
      <c r="A33" s="96"/>
      <c r="B33" s="96"/>
      <c r="C33" s="115"/>
      <c r="D33" s="98"/>
      <c r="E33" s="76"/>
      <c r="F33" s="76"/>
      <c r="G33" s="76"/>
      <c r="H33" s="76"/>
      <c r="I33" s="76"/>
      <c r="J33" s="76"/>
      <c r="K33" s="76"/>
      <c r="L33" s="76"/>
      <c r="M33" s="76"/>
      <c r="N33" s="76"/>
      <c r="O33" s="76"/>
    </row>
    <row r="34" spans="1:15" ht="20.25">
      <c r="A34" s="96"/>
      <c r="B34" s="96"/>
      <c r="C34" s="115"/>
      <c r="D34" s="98"/>
      <c r="E34" s="76"/>
      <c r="F34" s="76"/>
      <c r="G34" s="76"/>
      <c r="H34" s="76"/>
      <c r="I34" s="76"/>
      <c r="J34" s="76"/>
      <c r="K34" s="76"/>
      <c r="L34" s="76"/>
      <c r="M34" s="76"/>
      <c r="N34" s="76"/>
      <c r="O34" s="76"/>
    </row>
    <row r="35" spans="1:15" ht="20.25">
      <c r="A35" s="96"/>
      <c r="B35" s="96"/>
      <c r="C35" s="115"/>
      <c r="D35" s="98"/>
      <c r="E35" s="76"/>
      <c r="F35" s="76"/>
      <c r="G35" s="76"/>
      <c r="H35" s="76"/>
      <c r="I35" s="76"/>
      <c r="J35" s="76"/>
      <c r="K35" s="76"/>
      <c r="L35" s="76"/>
      <c r="M35" s="76"/>
      <c r="N35" s="76"/>
      <c r="O35" s="76"/>
    </row>
    <row r="36" spans="1:15" ht="20.25">
      <c r="A36" s="96"/>
      <c r="B36" s="96"/>
      <c r="C36" s="115"/>
      <c r="D36" s="98"/>
      <c r="E36" s="76"/>
      <c r="F36" s="76"/>
      <c r="G36" s="76"/>
      <c r="H36" s="76"/>
      <c r="I36" s="76"/>
      <c r="J36" s="76"/>
      <c r="K36" s="76"/>
      <c r="L36" s="76"/>
      <c r="M36" s="76"/>
      <c r="N36" s="76"/>
      <c r="O36" s="76"/>
    </row>
    <row r="37" spans="1:15" ht="20.25">
      <c r="A37" s="96"/>
      <c r="B37" s="96"/>
      <c r="C37" s="115"/>
      <c r="D37" s="98"/>
      <c r="E37" s="76"/>
      <c r="F37" s="76"/>
      <c r="G37" s="76"/>
      <c r="H37" s="76"/>
      <c r="I37" s="76"/>
      <c r="J37" s="76"/>
      <c r="K37" s="76"/>
      <c r="L37" s="76"/>
      <c r="M37" s="76"/>
      <c r="N37" s="76"/>
      <c r="O37" s="76"/>
    </row>
    <row r="38" spans="1:15" ht="20.25">
      <c r="A38" s="96"/>
      <c r="B38" s="96"/>
      <c r="C38" s="115"/>
      <c r="D38" s="98"/>
      <c r="E38" s="76"/>
      <c r="F38" s="76"/>
      <c r="G38" s="76"/>
      <c r="H38" s="76"/>
      <c r="I38" s="76"/>
      <c r="J38" s="76"/>
      <c r="K38" s="76"/>
      <c r="L38" s="76"/>
      <c r="M38" s="76"/>
      <c r="N38" s="76"/>
      <c r="O38" s="76"/>
    </row>
    <row r="39" spans="1:15" ht="20.25">
      <c r="A39" s="96"/>
      <c r="B39" s="96"/>
      <c r="C39" s="115"/>
      <c r="D39" s="98"/>
      <c r="E39" s="76"/>
      <c r="F39" s="76"/>
      <c r="G39" s="76"/>
      <c r="H39" s="76"/>
      <c r="I39" s="76"/>
      <c r="J39" s="76"/>
      <c r="K39" s="76"/>
      <c r="L39" s="76"/>
      <c r="M39" s="76"/>
      <c r="N39" s="76"/>
      <c r="O39" s="76"/>
    </row>
    <row r="40" spans="1:15" ht="20.25">
      <c r="A40" s="96"/>
      <c r="B40" s="96"/>
      <c r="C40" s="115"/>
      <c r="D40" s="98"/>
      <c r="E40" s="76"/>
      <c r="F40" s="76"/>
      <c r="G40" s="76"/>
      <c r="H40" s="76"/>
      <c r="I40" s="76"/>
      <c r="J40" s="76"/>
      <c r="K40" s="76"/>
      <c r="L40" s="76"/>
      <c r="M40" s="76"/>
      <c r="N40" s="76"/>
      <c r="O40" s="76"/>
    </row>
    <row r="41" spans="1:15" ht="20.25">
      <c r="A41" s="96"/>
      <c r="B41" s="96"/>
      <c r="C41" s="115"/>
      <c r="D41" s="98"/>
      <c r="E41" s="76"/>
      <c r="F41" s="76"/>
      <c r="G41" s="76"/>
      <c r="H41" s="76"/>
      <c r="I41" s="76"/>
      <c r="J41" s="76"/>
      <c r="K41" s="76"/>
      <c r="L41" s="76"/>
      <c r="M41" s="76"/>
      <c r="N41" s="76"/>
      <c r="O41" s="76"/>
    </row>
    <row r="42" spans="1:15" ht="20.25">
      <c r="A42" s="96"/>
      <c r="B42" s="96"/>
      <c r="C42" s="115"/>
      <c r="D42" s="98"/>
      <c r="E42" s="76"/>
      <c r="F42" s="76"/>
      <c r="G42" s="76"/>
      <c r="H42" s="76"/>
      <c r="I42" s="76"/>
      <c r="J42" s="76"/>
      <c r="K42" s="76"/>
      <c r="L42" s="76"/>
      <c r="M42" s="76"/>
      <c r="N42" s="76"/>
      <c r="O42" s="76"/>
    </row>
    <row r="43" spans="1:15" ht="20.25">
      <c r="A43" s="96"/>
      <c r="B43" s="96"/>
      <c r="C43" s="115"/>
      <c r="D43" s="98"/>
      <c r="E43" s="76"/>
      <c r="F43" s="76"/>
      <c r="G43" s="76"/>
      <c r="H43" s="76"/>
      <c r="I43" s="76"/>
      <c r="J43" s="76"/>
      <c r="K43" s="76"/>
      <c r="L43" s="76"/>
      <c r="M43" s="76"/>
      <c r="N43" s="76"/>
      <c r="O43" s="76"/>
    </row>
    <row r="44" spans="1:15" ht="20.25">
      <c r="A44" s="96"/>
      <c r="B44" s="96"/>
      <c r="C44" s="115"/>
      <c r="D44" s="98"/>
      <c r="E44" s="76"/>
      <c r="F44" s="76"/>
      <c r="G44" s="76"/>
      <c r="H44" s="76"/>
      <c r="I44" s="76"/>
      <c r="J44" s="76"/>
      <c r="K44" s="76"/>
      <c r="L44" s="76"/>
      <c r="M44" s="76"/>
      <c r="N44" s="76"/>
      <c r="O44" s="76"/>
    </row>
    <row r="45" spans="1:15" ht="20.25">
      <c r="A45" s="96"/>
      <c r="B45" s="96"/>
      <c r="C45" s="115"/>
      <c r="D45" s="98"/>
      <c r="E45" s="76"/>
      <c r="F45" s="76"/>
      <c r="G45" s="76"/>
      <c r="H45" s="76"/>
      <c r="I45" s="76"/>
      <c r="J45" s="76"/>
      <c r="K45" s="76"/>
      <c r="L45" s="76"/>
      <c r="M45" s="76"/>
      <c r="N45" s="76"/>
      <c r="O45" s="76"/>
    </row>
    <row r="46" spans="1:15" ht="20.25">
      <c r="A46" s="96"/>
      <c r="B46" s="96"/>
      <c r="C46" s="115"/>
      <c r="D46" s="98"/>
      <c r="E46" s="76"/>
      <c r="F46" s="76"/>
      <c r="G46" s="76"/>
      <c r="H46" s="76"/>
      <c r="I46" s="76"/>
      <c r="J46" s="76"/>
      <c r="K46" s="76"/>
      <c r="L46" s="76"/>
      <c r="M46" s="76"/>
      <c r="N46" s="76"/>
      <c r="O46" s="76"/>
    </row>
    <row r="47" spans="1:15" ht="20.25">
      <c r="A47" s="96"/>
      <c r="B47" s="96"/>
      <c r="C47" s="98"/>
      <c r="D47" s="98"/>
      <c r="E47" s="76"/>
      <c r="F47" s="76"/>
      <c r="G47" s="76"/>
      <c r="H47" s="76"/>
      <c r="I47" s="76"/>
      <c r="J47" s="76"/>
      <c r="K47" s="76"/>
      <c r="L47" s="76"/>
      <c r="M47" s="76"/>
      <c r="N47" s="76"/>
      <c r="O47" s="76"/>
    </row>
    <row r="48" spans="1:15" ht="20.25">
      <c r="A48" s="96"/>
      <c r="B48" s="96"/>
      <c r="C48" s="98"/>
      <c r="D48" s="98"/>
      <c r="E48" s="76"/>
      <c r="F48" s="76"/>
      <c r="G48" s="76"/>
      <c r="H48" s="76"/>
      <c r="I48" s="76"/>
      <c r="J48" s="76"/>
      <c r="K48" s="76"/>
      <c r="L48" s="76"/>
      <c r="M48" s="76"/>
      <c r="N48" s="76"/>
      <c r="O48" s="76"/>
    </row>
    <row r="49" spans="1:15" ht="20.25">
      <c r="A49" s="96"/>
      <c r="B49" s="96"/>
      <c r="C49" s="98"/>
      <c r="D49" s="98"/>
      <c r="E49" s="76"/>
      <c r="F49" s="76"/>
      <c r="G49" s="76"/>
      <c r="H49" s="76"/>
      <c r="I49" s="76"/>
      <c r="J49" s="76"/>
      <c r="K49" s="76"/>
      <c r="L49" s="76"/>
      <c r="M49" s="76"/>
      <c r="N49" s="76"/>
      <c r="O49" s="76"/>
    </row>
    <row r="50" spans="1:15" ht="20.25">
      <c r="A50" s="96"/>
      <c r="B50" s="96"/>
      <c r="C50" s="98"/>
      <c r="D50" s="98"/>
      <c r="E50" s="76"/>
      <c r="F50" s="76"/>
      <c r="G50" s="76"/>
      <c r="H50" s="76"/>
      <c r="I50" s="76"/>
      <c r="J50" s="76"/>
      <c r="K50" s="76"/>
      <c r="L50" s="76"/>
      <c r="M50" s="76"/>
      <c r="N50" s="76"/>
      <c r="O50" s="76"/>
    </row>
    <row r="51" spans="1:15" ht="20.25">
      <c r="A51" s="96"/>
      <c r="B51" s="96"/>
      <c r="C51" s="98"/>
      <c r="D51" s="98"/>
      <c r="E51" s="76"/>
      <c r="F51" s="76"/>
      <c r="G51" s="76"/>
      <c r="H51" s="76"/>
      <c r="I51" s="76"/>
      <c r="J51" s="76"/>
      <c r="K51" s="76"/>
      <c r="L51" s="76"/>
      <c r="M51" s="76"/>
      <c r="N51" s="76"/>
      <c r="O51" s="76"/>
    </row>
    <row r="52" spans="1:15" ht="20.25">
      <c r="A52" s="96"/>
      <c r="B52" s="20"/>
      <c r="C52" s="26"/>
      <c r="D52" s="26"/>
    </row>
    <row r="53" spans="1:15" ht="20.25">
      <c r="A53" s="96"/>
      <c r="B53" s="20"/>
      <c r="C53" s="26"/>
      <c r="D53" s="26"/>
    </row>
    <row r="54" spans="1:15" ht="20.25">
      <c r="A54" s="96"/>
      <c r="B54" s="20"/>
      <c r="C54" s="26"/>
      <c r="D54" s="26"/>
    </row>
    <row r="55" spans="1:15" ht="20.25">
      <c r="A55" s="96"/>
      <c r="B55" s="20"/>
      <c r="C55" s="26"/>
      <c r="D55" s="26"/>
    </row>
    <row r="56" spans="1:15" ht="20.25">
      <c r="A56" s="96"/>
      <c r="B56" s="20"/>
      <c r="C56" s="26"/>
      <c r="D56" s="26"/>
    </row>
    <row r="57" spans="1:15" ht="20.25">
      <c r="A57" s="96"/>
      <c r="B57" s="20"/>
      <c r="C57" s="26"/>
      <c r="D57" s="26"/>
    </row>
    <row r="58" spans="1:15" ht="20.25">
      <c r="A58" s="96"/>
      <c r="B58" s="20"/>
      <c r="C58" s="26"/>
      <c r="D58" s="26"/>
    </row>
    <row r="59" spans="1:15" ht="20.25">
      <c r="A59" s="96"/>
      <c r="B59" s="20"/>
      <c r="C59" s="26"/>
      <c r="D59" s="26"/>
    </row>
    <row r="60" spans="1:15" ht="20.25">
      <c r="A60" s="96"/>
      <c r="B60" s="20"/>
      <c r="C60" s="26"/>
      <c r="D60" s="26"/>
    </row>
    <row r="61" spans="1:15" ht="20.25">
      <c r="A61" s="96"/>
      <c r="B61" s="20"/>
      <c r="C61" s="26"/>
      <c r="D61" s="26"/>
    </row>
    <row r="62" spans="1:15" ht="20.25">
      <c r="A62" s="96"/>
      <c r="B62" s="20"/>
      <c r="C62" s="26"/>
      <c r="D62" s="26"/>
    </row>
    <row r="63" spans="1:15" ht="20.25">
      <c r="A63" s="96"/>
      <c r="B63" s="20"/>
      <c r="C63" s="26"/>
      <c r="D63" s="26"/>
    </row>
    <row r="64" spans="1:15" ht="20.25">
      <c r="A64" s="96"/>
      <c r="B64" s="20"/>
      <c r="C64" s="26"/>
      <c r="D64" s="26"/>
    </row>
    <row r="65" spans="1:4" ht="20.25">
      <c r="A65" s="96"/>
      <c r="B65" s="20"/>
      <c r="C65" s="26"/>
      <c r="D65" s="26"/>
    </row>
    <row r="66" spans="1:4" ht="20.25">
      <c r="A66" s="96"/>
      <c r="B66" s="20"/>
      <c r="C66" s="26"/>
      <c r="D66" s="26"/>
    </row>
    <row r="67" spans="1:4" ht="20.25">
      <c r="A67" s="96"/>
      <c r="B67" s="20"/>
      <c r="C67" s="26"/>
      <c r="D67" s="26"/>
    </row>
    <row r="68" spans="1:4" ht="20.25">
      <c r="A68" s="96"/>
      <c r="B68" s="20"/>
      <c r="C68" s="26"/>
      <c r="D68" s="26"/>
    </row>
    <row r="69" spans="1:4" ht="20.25">
      <c r="A69" s="96"/>
      <c r="B69" s="20"/>
      <c r="C69" s="26"/>
      <c r="D69" s="26"/>
    </row>
    <row r="70" spans="1:4" ht="20.25">
      <c r="A70" s="96"/>
      <c r="B70" s="20"/>
      <c r="C70" s="26"/>
      <c r="D70" s="26"/>
    </row>
    <row r="71" spans="1:4" ht="20.25">
      <c r="A71" s="96"/>
      <c r="B71" s="20"/>
      <c r="C71" s="26"/>
      <c r="D71" s="26"/>
    </row>
    <row r="72" spans="1:4" ht="20.25">
      <c r="A72" s="96"/>
      <c r="B72" s="20"/>
      <c r="C72" s="26"/>
      <c r="D72" s="26"/>
    </row>
    <row r="73" spans="1:4" ht="20.25">
      <c r="A73" s="96"/>
      <c r="B73" s="20"/>
      <c r="C73" s="26"/>
      <c r="D73" s="26"/>
    </row>
    <row r="74" spans="1:4" ht="20.25">
      <c r="A74" s="96"/>
      <c r="B74" s="20"/>
      <c r="C74" s="26"/>
      <c r="D74" s="26"/>
    </row>
    <row r="75" spans="1:4" ht="20.25">
      <c r="A75" s="96"/>
      <c r="B75" s="20"/>
      <c r="C75" s="26"/>
      <c r="D75" s="26"/>
    </row>
    <row r="76" spans="1:4" ht="20.25">
      <c r="A76" s="96"/>
      <c r="B76" s="20"/>
      <c r="C76" s="26"/>
      <c r="D76" s="26"/>
    </row>
    <row r="77" spans="1:4" ht="20.25">
      <c r="A77" s="96"/>
      <c r="B77" s="20"/>
      <c r="C77" s="26"/>
      <c r="D77" s="26"/>
    </row>
    <row r="78" spans="1:4" ht="20.25">
      <c r="A78" s="96"/>
      <c r="B78" s="20"/>
      <c r="C78" s="26"/>
      <c r="D78" s="26"/>
    </row>
    <row r="79" spans="1:4" ht="20.25">
      <c r="A79" s="96"/>
      <c r="B79" s="20"/>
      <c r="C79" s="26"/>
      <c r="D79" s="26"/>
    </row>
    <row r="80" spans="1:4" ht="20.25">
      <c r="A80" s="96"/>
      <c r="B80" s="20"/>
      <c r="C80" s="26"/>
      <c r="D80" s="26"/>
    </row>
    <row r="81" spans="1:4" ht="20.25">
      <c r="A81" s="96"/>
      <c r="B81" s="20"/>
      <c r="C81" s="26"/>
      <c r="D81" s="26"/>
    </row>
    <row r="82" spans="1:4" ht="20.25">
      <c r="A82" s="96"/>
      <c r="B82" s="20"/>
      <c r="C82" s="26"/>
      <c r="D82" s="26"/>
    </row>
    <row r="83" spans="1:4" ht="20.25">
      <c r="A83" s="96"/>
      <c r="B83" s="20"/>
      <c r="C83" s="26"/>
      <c r="D83" s="26"/>
    </row>
    <row r="84" spans="1:4" ht="20.25">
      <c r="A84" s="96"/>
      <c r="B84" s="20"/>
      <c r="C84" s="26"/>
      <c r="D84" s="26"/>
    </row>
    <row r="85" spans="1:4" ht="20.25">
      <c r="A85" s="96"/>
      <c r="B85" s="20"/>
      <c r="C85" s="26"/>
      <c r="D85" s="26"/>
    </row>
    <row r="86" spans="1:4" ht="20.25">
      <c r="A86" s="96"/>
      <c r="B86" s="20"/>
      <c r="C86" s="26"/>
      <c r="D86" s="26"/>
    </row>
    <row r="87" spans="1:4" ht="20.25">
      <c r="A87" s="96"/>
      <c r="B87" s="20"/>
      <c r="C87" s="26"/>
      <c r="D87" s="26"/>
    </row>
    <row r="88" spans="1:4" ht="20.25">
      <c r="A88" s="96"/>
      <c r="B88" s="20"/>
      <c r="C88" s="26"/>
      <c r="D88" s="26"/>
    </row>
    <row r="89" spans="1:4" ht="20.25">
      <c r="A89" s="96"/>
      <c r="B89" s="20"/>
      <c r="C89" s="26"/>
      <c r="D89" s="26"/>
    </row>
    <row r="90" spans="1:4" ht="20.25">
      <c r="A90" s="96"/>
      <c r="B90" s="20"/>
      <c r="C90" s="26"/>
      <c r="D90" s="26"/>
    </row>
    <row r="91" spans="1:4" ht="20.25">
      <c r="A91" s="96"/>
      <c r="B91" s="20"/>
      <c r="C91" s="26"/>
      <c r="D91" s="26"/>
    </row>
    <row r="92" spans="1:4" ht="20.25">
      <c r="A92" s="96"/>
      <c r="B92" s="20"/>
      <c r="C92" s="26"/>
      <c r="D92" s="26"/>
    </row>
    <row r="93" spans="1:4" ht="20.25">
      <c r="A93" s="96"/>
      <c r="B93" s="20"/>
      <c r="C93" s="26"/>
      <c r="D93" s="26"/>
    </row>
    <row r="94" spans="1:4" ht="20.25">
      <c r="A94" s="96"/>
      <c r="B94" s="20"/>
      <c r="C94" s="26"/>
      <c r="D94" s="26"/>
    </row>
    <row r="95" spans="1:4" ht="20.25">
      <c r="A95" s="96"/>
      <c r="B95" s="20"/>
      <c r="C95" s="26"/>
      <c r="D95" s="26"/>
    </row>
    <row r="96" spans="1:4" ht="20.25">
      <c r="A96" s="96"/>
      <c r="B96" s="20"/>
      <c r="C96" s="26"/>
      <c r="D96" s="26"/>
    </row>
    <row r="97" spans="1:4" ht="20.25">
      <c r="A97" s="96"/>
      <c r="B97" s="20"/>
      <c r="C97" s="26"/>
      <c r="D97" s="26"/>
    </row>
    <row r="98" spans="1:4" ht="20.25">
      <c r="A98" s="96"/>
      <c r="B98" s="20"/>
      <c r="C98" s="26"/>
      <c r="D98" s="26"/>
    </row>
    <row r="99" spans="1:4" ht="20.25">
      <c r="A99" s="96"/>
      <c r="B99" s="20"/>
      <c r="C99" s="26"/>
      <c r="D99" s="26"/>
    </row>
    <row r="100" spans="1:4" ht="20.25">
      <c r="A100" s="96"/>
      <c r="B100" s="20"/>
      <c r="C100" s="26"/>
      <c r="D100" s="26"/>
    </row>
    <row r="101" spans="1:4" ht="20.25">
      <c r="A101" s="96"/>
      <c r="B101" s="20"/>
      <c r="C101" s="26"/>
      <c r="D101" s="26"/>
    </row>
    <row r="102" spans="1:4" ht="20.25">
      <c r="A102" s="96"/>
      <c r="B102" s="20"/>
      <c r="C102" s="26"/>
      <c r="D102" s="26"/>
    </row>
    <row r="103" spans="1:4" ht="20.25">
      <c r="A103" s="96"/>
      <c r="B103" s="20"/>
      <c r="C103" s="26"/>
      <c r="D103" s="26"/>
    </row>
    <row r="104" spans="1:4" ht="20.25">
      <c r="A104" s="96"/>
      <c r="B104" s="20"/>
      <c r="C104" s="26"/>
      <c r="D104" s="26"/>
    </row>
    <row r="105" spans="1:4" ht="20.25">
      <c r="A105" s="96"/>
      <c r="B105" s="20"/>
      <c r="C105" s="26"/>
      <c r="D105" s="26"/>
    </row>
    <row r="106" spans="1:4" ht="20.25">
      <c r="A106" s="96"/>
      <c r="B106" s="20"/>
      <c r="C106" s="26"/>
      <c r="D106" s="26"/>
    </row>
    <row r="107" spans="1:4" ht="20.25">
      <c r="A107" s="96"/>
      <c r="B107" s="20"/>
      <c r="C107" s="26"/>
      <c r="D107" s="26"/>
    </row>
    <row r="108" spans="1:4" ht="20.25">
      <c r="A108" s="96"/>
      <c r="B108" s="20"/>
      <c r="C108" s="26"/>
      <c r="D108" s="26"/>
    </row>
    <row r="109" spans="1:4" ht="20.25">
      <c r="A109" s="96"/>
      <c r="B109" s="20"/>
      <c r="C109" s="26"/>
      <c r="D109" s="26"/>
    </row>
    <row r="110" spans="1:4" ht="20.25">
      <c r="A110" s="96"/>
      <c r="B110" s="20"/>
      <c r="C110" s="26"/>
      <c r="D110" s="26"/>
    </row>
    <row r="111" spans="1:4" ht="20.25">
      <c r="A111" s="96"/>
      <c r="B111" s="20"/>
      <c r="C111" s="26"/>
      <c r="D111" s="26"/>
    </row>
    <row r="112" spans="1:4" ht="20.25">
      <c r="A112" s="96"/>
      <c r="B112" s="20"/>
      <c r="C112" s="26"/>
      <c r="D112" s="26"/>
    </row>
    <row r="113" spans="1:4" ht="20.25">
      <c r="A113" s="96"/>
      <c r="B113" s="20"/>
      <c r="C113" s="26"/>
      <c r="D113" s="26"/>
    </row>
    <row r="114" spans="1:4" ht="20.25">
      <c r="A114" s="96"/>
      <c r="B114" s="20"/>
      <c r="C114" s="26"/>
      <c r="D114" s="26"/>
    </row>
    <row r="115" spans="1:4" ht="20.25">
      <c r="A115" s="96"/>
      <c r="B115" s="20"/>
      <c r="C115" s="26"/>
      <c r="D115" s="26"/>
    </row>
    <row r="116" spans="1:4" ht="20.25">
      <c r="A116" s="96"/>
      <c r="B116" s="20"/>
      <c r="C116" s="26"/>
      <c r="D116" s="26"/>
    </row>
    <row r="117" spans="1:4" ht="20.25">
      <c r="A117" s="96"/>
      <c r="B117" s="20"/>
      <c r="C117" s="26"/>
      <c r="D117" s="26"/>
    </row>
    <row r="118" spans="1:4" ht="20.25">
      <c r="A118" s="96"/>
      <c r="B118" s="20"/>
      <c r="C118" s="26"/>
      <c r="D118" s="26"/>
    </row>
    <row r="119" spans="1:4" ht="20.25">
      <c r="A119" s="96"/>
      <c r="B119" s="20"/>
      <c r="C119" s="26"/>
      <c r="D119" s="26"/>
    </row>
    <row r="120" spans="1:4" ht="20.25">
      <c r="A120" s="96"/>
      <c r="B120" s="20"/>
      <c r="C120" s="26"/>
      <c r="D120" s="26"/>
    </row>
    <row r="121" spans="1:4" ht="20.25">
      <c r="A121" s="96"/>
      <c r="B121" s="20"/>
      <c r="C121" s="26"/>
      <c r="D121" s="26"/>
    </row>
    <row r="122" spans="1:4" ht="20.25">
      <c r="A122" s="96"/>
      <c r="B122" s="20"/>
      <c r="C122" s="26"/>
      <c r="D122" s="26"/>
    </row>
    <row r="123" spans="1:4" ht="20.25">
      <c r="A123" s="96"/>
      <c r="B123" s="20"/>
      <c r="C123" s="26"/>
      <c r="D123" s="26"/>
    </row>
    <row r="124" spans="1:4" ht="20.25">
      <c r="A124" s="96"/>
      <c r="B124" s="20"/>
      <c r="C124" s="26"/>
      <c r="D124" s="26"/>
    </row>
    <row r="125" spans="1:4" ht="20.25">
      <c r="A125" s="96"/>
      <c r="B125" s="20"/>
      <c r="C125" s="26"/>
      <c r="D125" s="26"/>
    </row>
    <row r="126" spans="1:4" ht="20.25">
      <c r="A126" s="96"/>
      <c r="B126" s="20"/>
      <c r="C126" s="26"/>
      <c r="D126" s="26"/>
    </row>
    <row r="127" spans="1:4" ht="20.25">
      <c r="A127" s="96"/>
      <c r="B127" s="20"/>
      <c r="C127" s="26"/>
      <c r="D127" s="26"/>
    </row>
    <row r="128" spans="1:4" ht="20.25">
      <c r="A128" s="96"/>
      <c r="B128" s="20"/>
      <c r="C128" s="26"/>
      <c r="D128" s="26"/>
    </row>
    <row r="129" spans="1:4" ht="20.25">
      <c r="A129" s="96"/>
      <c r="B129" s="20"/>
      <c r="C129" s="26"/>
      <c r="D129" s="26"/>
    </row>
    <row r="130" spans="1:4" ht="20.25">
      <c r="A130" s="96"/>
      <c r="B130" s="20"/>
      <c r="C130" s="26"/>
      <c r="D130" s="26"/>
    </row>
    <row r="131" spans="1:4" ht="20.25">
      <c r="A131" s="96"/>
      <c r="B131" s="20"/>
      <c r="C131" s="26"/>
      <c r="D131" s="26"/>
    </row>
    <row r="132" spans="1:4" ht="20.25">
      <c r="A132" s="96"/>
      <c r="B132" s="20"/>
      <c r="C132" s="26"/>
      <c r="D132" s="26"/>
    </row>
    <row r="133" spans="1:4" ht="20.25">
      <c r="A133" s="96"/>
      <c r="B133" s="20"/>
      <c r="C133" s="26"/>
      <c r="D133" s="26"/>
    </row>
    <row r="134" spans="1:4" ht="20.25">
      <c r="A134" s="96"/>
      <c r="B134" s="20"/>
      <c r="C134" s="26"/>
      <c r="D134" s="26"/>
    </row>
    <row r="135" spans="1:4" ht="20.25">
      <c r="A135" s="96"/>
      <c r="B135" s="20"/>
      <c r="C135" s="26"/>
      <c r="D135" s="26"/>
    </row>
    <row r="136" spans="1:4" ht="20.25">
      <c r="A136" s="96"/>
      <c r="B136" s="20"/>
      <c r="C136" s="26"/>
      <c r="D136" s="26"/>
    </row>
    <row r="137" spans="1:4" ht="20.25">
      <c r="A137" s="96"/>
      <c r="B137" s="20"/>
      <c r="C137" s="26"/>
      <c r="D137" s="26"/>
    </row>
    <row r="138" spans="1:4" ht="20.25">
      <c r="A138" s="96"/>
      <c r="B138" s="20"/>
      <c r="C138" s="26"/>
      <c r="D138" s="26"/>
    </row>
    <row r="139" spans="1:4" ht="20.25">
      <c r="A139" s="96"/>
      <c r="B139" s="20"/>
      <c r="C139" s="26"/>
      <c r="D139" s="26"/>
    </row>
    <row r="140" spans="1:4" ht="20.25">
      <c r="A140" s="96"/>
      <c r="B140" s="20"/>
      <c r="C140" s="26"/>
      <c r="D140" s="26"/>
    </row>
    <row r="141" spans="1:4" ht="20.25">
      <c r="A141" s="96"/>
      <c r="B141" s="20"/>
      <c r="C141" s="26"/>
      <c r="D141" s="26"/>
    </row>
    <row r="142" spans="1:4" ht="20.25">
      <c r="A142" s="96"/>
      <c r="B142" s="20"/>
      <c r="C142" s="26"/>
      <c r="D142" s="26"/>
    </row>
    <row r="143" spans="1:4" ht="20.25">
      <c r="A143" s="96"/>
      <c r="B143" s="20"/>
      <c r="C143" s="26"/>
      <c r="D143" s="26"/>
    </row>
    <row r="144" spans="1:4" ht="20.25">
      <c r="A144" s="96"/>
      <c r="B144" s="20"/>
      <c r="C144" s="26"/>
      <c r="D144" s="26"/>
    </row>
    <row r="145" spans="1:4" ht="20.25">
      <c r="A145" s="96"/>
      <c r="B145" s="20"/>
      <c r="C145" s="26"/>
      <c r="D145" s="26"/>
    </row>
    <row r="146" spans="1:4" ht="20.25">
      <c r="A146" s="96"/>
      <c r="B146" s="20"/>
      <c r="C146" s="26"/>
      <c r="D146" s="26"/>
    </row>
    <row r="147" spans="1:4" ht="20.25">
      <c r="A147" s="96"/>
      <c r="B147" s="20"/>
      <c r="C147" s="26"/>
      <c r="D147" s="26"/>
    </row>
    <row r="148" spans="1:4" ht="20.25">
      <c r="A148" s="96"/>
      <c r="B148" s="20"/>
      <c r="C148" s="26"/>
      <c r="D148" s="26"/>
    </row>
    <row r="149" spans="1:4" ht="20.25">
      <c r="A149" s="96"/>
      <c r="B149" s="20"/>
      <c r="C149" s="26"/>
      <c r="D149" s="26"/>
    </row>
    <row r="150" spans="1:4" ht="20.25">
      <c r="A150" s="96"/>
      <c r="B150" s="20"/>
      <c r="C150" s="26"/>
      <c r="D150" s="26"/>
    </row>
    <row r="151" spans="1:4" ht="20.25">
      <c r="A151" s="96"/>
      <c r="B151" s="20"/>
      <c r="C151" s="26"/>
      <c r="D151" s="26"/>
    </row>
    <row r="152" spans="1:4" ht="20.25">
      <c r="A152" s="96"/>
      <c r="B152" s="20"/>
      <c r="C152" s="26"/>
      <c r="D152" s="26"/>
    </row>
    <row r="153" spans="1:4" ht="20.25">
      <c r="A153" s="96"/>
      <c r="B153" s="20"/>
      <c r="C153" s="26"/>
      <c r="D153" s="26"/>
    </row>
    <row r="154" spans="1:4" ht="20.25">
      <c r="A154" s="96"/>
      <c r="B154" s="20"/>
      <c r="C154" s="26"/>
      <c r="D154" s="26"/>
    </row>
    <row r="155" spans="1:4" ht="20.25">
      <c r="A155" s="96"/>
      <c r="B155" s="20"/>
      <c r="C155" s="26"/>
      <c r="D155" s="26"/>
    </row>
    <row r="156" spans="1:4" ht="20.25">
      <c r="A156" s="96"/>
      <c r="B156" s="20"/>
      <c r="C156" s="26"/>
      <c r="D156" s="26"/>
    </row>
    <row r="157" spans="1:4" ht="20.25">
      <c r="A157" s="96"/>
      <c r="B157" s="20"/>
      <c r="C157" s="26"/>
      <c r="D157" s="26"/>
    </row>
    <row r="158" spans="1:4" ht="20.25">
      <c r="A158" s="96"/>
      <c r="B158" s="20"/>
      <c r="C158" s="26"/>
      <c r="D158" s="26"/>
    </row>
    <row r="159" spans="1:4" ht="20.25">
      <c r="A159" s="96"/>
      <c r="B159" s="20"/>
      <c r="C159" s="26"/>
      <c r="D159" s="26"/>
    </row>
    <row r="160" spans="1:4" ht="20.25">
      <c r="A160" s="96"/>
      <c r="B160" s="20"/>
      <c r="C160" s="26"/>
      <c r="D160" s="26"/>
    </row>
    <row r="161" spans="1:4" ht="20.25">
      <c r="A161" s="96"/>
      <c r="B161" s="20"/>
      <c r="C161" s="26"/>
      <c r="D161" s="26"/>
    </row>
    <row r="162" spans="1:4" ht="20.25">
      <c r="A162" s="96"/>
      <c r="B162" s="20"/>
      <c r="C162" s="26"/>
      <c r="D162" s="26"/>
    </row>
    <row r="163" spans="1:4" ht="20.25">
      <c r="A163" s="96"/>
      <c r="B163" s="20"/>
      <c r="C163" s="26"/>
      <c r="D163" s="26"/>
    </row>
    <row r="164" spans="1:4" ht="20.25">
      <c r="A164" s="96"/>
      <c r="B164" s="20"/>
      <c r="C164" s="26"/>
      <c r="D164" s="26"/>
    </row>
    <row r="165" spans="1:4" ht="20.25">
      <c r="A165" s="96"/>
      <c r="B165" s="20"/>
      <c r="C165" s="26"/>
      <c r="D165" s="26"/>
    </row>
    <row r="166" spans="1:4" ht="20.25">
      <c r="A166" s="96"/>
      <c r="B166" s="20"/>
      <c r="C166" s="26"/>
      <c r="D166" s="26"/>
    </row>
    <row r="167" spans="1:4" ht="20.25">
      <c r="A167" s="96"/>
      <c r="B167" s="20"/>
      <c r="C167" s="26"/>
      <c r="D167" s="26"/>
    </row>
    <row r="168" spans="1:4" ht="20.25">
      <c r="A168" s="96"/>
      <c r="B168" s="20"/>
      <c r="C168" s="26"/>
      <c r="D168" s="26"/>
    </row>
    <row r="169" spans="1:4" ht="20.25">
      <c r="A169" s="96"/>
      <c r="B169" s="20"/>
      <c r="C169" s="26"/>
      <c r="D169" s="26"/>
    </row>
    <row r="170" spans="1:4" ht="20.25">
      <c r="A170" s="96"/>
      <c r="B170" s="20"/>
      <c r="C170" s="26"/>
      <c r="D170" s="26"/>
    </row>
    <row r="171" spans="1:4" ht="20.25">
      <c r="A171" s="96"/>
      <c r="B171" s="20"/>
      <c r="C171" s="26"/>
      <c r="D171" s="26"/>
    </row>
    <row r="172" spans="1:4" ht="20.25">
      <c r="A172" s="96"/>
      <c r="B172" s="20"/>
      <c r="C172" s="26"/>
      <c r="D172" s="26"/>
    </row>
    <row r="173" spans="1:4" ht="20.25">
      <c r="A173" s="96"/>
      <c r="B173" s="20"/>
      <c r="C173" s="26"/>
      <c r="D173" s="26"/>
    </row>
    <row r="174" spans="1:4" ht="20.25">
      <c r="A174" s="96"/>
      <c r="B174" s="20"/>
      <c r="C174" s="26"/>
      <c r="D174" s="26"/>
    </row>
    <row r="175" spans="1:4" ht="20.25">
      <c r="A175" s="96"/>
      <c r="B175" s="20"/>
      <c r="C175" s="26"/>
      <c r="D175" s="26"/>
    </row>
    <row r="176" spans="1:4" ht="20.25">
      <c r="A176" s="96"/>
      <c r="B176" s="20"/>
      <c r="C176" s="26"/>
      <c r="D176" s="26"/>
    </row>
    <row r="177" spans="1:4" ht="20.25">
      <c r="A177" s="96"/>
      <c r="B177" s="20"/>
      <c r="C177" s="26"/>
      <c r="D177" s="26"/>
    </row>
    <row r="178" spans="1:4" ht="20.25">
      <c r="A178" s="96"/>
      <c r="B178" s="20"/>
      <c r="C178" s="26"/>
      <c r="D178" s="26"/>
    </row>
    <row r="179" spans="1:4" ht="20.25">
      <c r="A179" s="96"/>
      <c r="B179" s="20"/>
      <c r="C179" s="26"/>
      <c r="D179" s="26"/>
    </row>
    <row r="180" spans="1:4" ht="20.25">
      <c r="A180" s="96"/>
      <c r="B180" s="20"/>
      <c r="C180" s="26"/>
      <c r="D180" s="26"/>
    </row>
    <row r="181" spans="1:4" ht="20.25">
      <c r="A181" s="96"/>
      <c r="B181" s="20"/>
      <c r="C181" s="26"/>
      <c r="D181" s="26"/>
    </row>
    <row r="182" spans="1:4" ht="20.25">
      <c r="A182" s="96"/>
      <c r="B182" s="20"/>
      <c r="C182" s="26"/>
      <c r="D182" s="26"/>
    </row>
    <row r="183" spans="1:4" ht="20.25">
      <c r="A183" s="96"/>
      <c r="B183" s="20"/>
      <c r="C183" s="26"/>
      <c r="D183" s="26"/>
    </row>
    <row r="184" spans="1:4" ht="20.25">
      <c r="A184" s="96"/>
      <c r="B184" s="20"/>
      <c r="C184" s="26"/>
      <c r="D184" s="26"/>
    </row>
    <row r="185" spans="1:4" ht="20.25">
      <c r="A185" s="96"/>
      <c r="B185" s="20"/>
      <c r="C185" s="26"/>
      <c r="D185" s="26"/>
    </row>
    <row r="186" spans="1:4" ht="20.25">
      <c r="A186" s="96"/>
      <c r="B186" s="20"/>
      <c r="C186" s="26"/>
      <c r="D186" s="26"/>
    </row>
    <row r="187" spans="1:4" ht="20.25">
      <c r="A187" s="96"/>
      <c r="B187" s="20"/>
      <c r="C187" s="26"/>
      <c r="D187" s="26"/>
    </row>
    <row r="188" spans="1:4" ht="20.25">
      <c r="A188" s="96"/>
      <c r="B188" s="20"/>
      <c r="C188" s="26"/>
      <c r="D188" s="26"/>
    </row>
    <row r="189" spans="1:4" ht="20.25">
      <c r="A189" s="96"/>
      <c r="B189" s="20"/>
      <c r="C189" s="26"/>
      <c r="D189" s="26"/>
    </row>
    <row r="190" spans="1:4" ht="20.25">
      <c r="A190" s="96"/>
      <c r="B190" s="20"/>
      <c r="C190" s="26"/>
      <c r="D190" s="26"/>
    </row>
    <row r="191" spans="1:4" ht="20.25">
      <c r="A191" s="96"/>
      <c r="B191" s="20"/>
      <c r="C191" s="26"/>
      <c r="D191" s="26"/>
    </row>
    <row r="192" spans="1:4" ht="20.25">
      <c r="A192" s="96"/>
      <c r="B192" s="20"/>
      <c r="C192" s="26"/>
      <c r="D192" s="26"/>
    </row>
    <row r="193" spans="1:4" ht="20.25">
      <c r="A193" s="96"/>
      <c r="B193" s="20"/>
      <c r="C193" s="26"/>
      <c r="D193" s="26"/>
    </row>
    <row r="194" spans="1:4" ht="20.25">
      <c r="A194" s="96"/>
      <c r="B194" s="20"/>
      <c r="C194" s="26"/>
      <c r="D194" s="26"/>
    </row>
    <row r="195" spans="1:4" ht="20.25">
      <c r="A195" s="96"/>
      <c r="B195" s="20"/>
      <c r="C195" s="26"/>
      <c r="D195" s="26"/>
    </row>
    <row r="196" spans="1:4" ht="20.25">
      <c r="A196" s="96"/>
      <c r="B196" s="20"/>
      <c r="C196" s="26"/>
      <c r="D196" s="26"/>
    </row>
    <row r="197" spans="1:4" ht="20.25">
      <c r="A197" s="96"/>
      <c r="B197" s="20"/>
      <c r="C197" s="26"/>
      <c r="D197" s="26"/>
    </row>
    <row r="198" spans="1:4" ht="20.25">
      <c r="A198" s="96"/>
      <c r="B198" s="20"/>
      <c r="C198" s="26"/>
      <c r="D198" s="26"/>
    </row>
    <row r="199" spans="1:4" ht="20.25">
      <c r="A199" s="96"/>
      <c r="B199" s="20"/>
      <c r="C199" s="26"/>
      <c r="D199" s="26"/>
    </row>
    <row r="200" spans="1:4" ht="20.25">
      <c r="A200" s="96"/>
      <c r="B200" s="20"/>
      <c r="C200" s="26"/>
      <c r="D200" s="26"/>
    </row>
    <row r="201" spans="1:4" ht="20.25">
      <c r="A201" s="96"/>
      <c r="B201" s="20"/>
      <c r="C201" s="26"/>
      <c r="D201" s="26"/>
    </row>
    <row r="202" spans="1:4" ht="20.25">
      <c r="A202" s="96"/>
      <c r="B202" s="20"/>
      <c r="C202" s="26"/>
      <c r="D202" s="26"/>
    </row>
    <row r="203" spans="1:4" ht="20.25">
      <c r="A203" s="96"/>
      <c r="B203" s="20"/>
      <c r="C203" s="26"/>
      <c r="D203" s="26"/>
    </row>
    <row r="204" spans="1:4" ht="20.25">
      <c r="A204" s="96"/>
      <c r="B204" s="20"/>
      <c r="C204" s="26"/>
      <c r="D204" s="26"/>
    </row>
    <row r="205" spans="1:4" ht="20.25">
      <c r="A205" s="96"/>
      <c r="B205" s="20"/>
      <c r="C205" s="26"/>
      <c r="D205" s="26"/>
    </row>
    <row r="206" spans="1:4" ht="20.25">
      <c r="A206" s="96"/>
      <c r="B206" s="20"/>
      <c r="C206" s="26"/>
      <c r="D206" s="26"/>
    </row>
    <row r="207" spans="1:4" ht="20.25">
      <c r="A207" s="96"/>
      <c r="B207" s="20"/>
      <c r="C207" s="26"/>
      <c r="D207" s="26"/>
    </row>
    <row r="208" spans="1:4">
      <c r="A208" s="76"/>
      <c r="B208" s="20"/>
      <c r="C208" s="20"/>
      <c r="D208" s="20"/>
    </row>
    <row r="209" spans="1:8" ht="20.25">
      <c r="A209" s="76"/>
      <c r="B209" s="22" t="s">
        <v>84</v>
      </c>
      <c r="C209" s="22" t="s">
        <v>132</v>
      </c>
      <c r="D209" s="25" t="s">
        <v>84</v>
      </c>
      <c r="E209" s="25" t="s">
        <v>132</v>
      </c>
    </row>
    <row r="210" spans="1:8" ht="21">
      <c r="A210" s="76"/>
      <c r="B210" s="23" t="s">
        <v>86</v>
      </c>
      <c r="C210" s="23"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c r="A211" s="76"/>
      <c r="B211" s="23" t="s">
        <v>86</v>
      </c>
      <c r="C211" s="23" t="s">
        <v>89</v>
      </c>
      <c r="E211" t="s">
        <v>54</v>
      </c>
      <c r="F211" t="str">
        <f t="shared" ref="F211:F221" si="0">IF(NOT(ISBLANK(D211)),D211,IF(NOT(ISBLANK(E211)),"     "&amp;E211,FALSE))</f>
        <v xml:space="preserve">     Afectación menor a 10 SMLMV .</v>
      </c>
    </row>
    <row r="212" spans="1:8" ht="21">
      <c r="A212" s="76"/>
      <c r="B212" s="23" t="s">
        <v>86</v>
      </c>
      <c r="C212" s="23" t="s">
        <v>90</v>
      </c>
      <c r="E212" t="s">
        <v>89</v>
      </c>
      <c r="F212" t="str">
        <f t="shared" si="0"/>
        <v xml:space="preserve">     Entre 10 y 50 SMLMV </v>
      </c>
    </row>
    <row r="213" spans="1:8" ht="21">
      <c r="A213" s="76"/>
      <c r="B213" s="23" t="s">
        <v>86</v>
      </c>
      <c r="C213" s="23" t="s">
        <v>91</v>
      </c>
      <c r="E213" t="s">
        <v>90</v>
      </c>
      <c r="F213" t="str">
        <f t="shared" si="0"/>
        <v xml:space="preserve">     Entre 50 y 100 SMLMV </v>
      </c>
    </row>
    <row r="214" spans="1:8" ht="21">
      <c r="A214" s="76"/>
      <c r="B214" s="23" t="s">
        <v>86</v>
      </c>
      <c r="C214" s="23" t="s">
        <v>92</v>
      </c>
      <c r="E214" t="s">
        <v>91</v>
      </c>
      <c r="F214" t="str">
        <f t="shared" si="0"/>
        <v xml:space="preserve">     Entre 100 y 500 SMLMV </v>
      </c>
    </row>
    <row r="215" spans="1:8" ht="21">
      <c r="A215" s="76"/>
      <c r="B215" s="23" t="s">
        <v>53</v>
      </c>
      <c r="C215" s="23" t="s">
        <v>93</v>
      </c>
      <c r="E215" t="s">
        <v>92</v>
      </c>
      <c r="F215" t="str">
        <f t="shared" si="0"/>
        <v xml:space="preserve">     Mayor a 500 SMLMV </v>
      </c>
    </row>
    <row r="216" spans="1:8" ht="21">
      <c r="A216" s="76"/>
      <c r="B216" s="23" t="s">
        <v>53</v>
      </c>
      <c r="C216" s="23" t="s">
        <v>94</v>
      </c>
      <c r="D216" t="s">
        <v>53</v>
      </c>
      <c r="F216" t="str">
        <f t="shared" si="0"/>
        <v>Pérdida Reputacional</v>
      </c>
    </row>
    <row r="217" spans="1:8" ht="21">
      <c r="A217" s="76"/>
      <c r="B217" s="23" t="s">
        <v>53</v>
      </c>
      <c r="C217" s="23" t="s">
        <v>96</v>
      </c>
      <c r="E217" t="s">
        <v>93</v>
      </c>
      <c r="F217" t="str">
        <f t="shared" si="0"/>
        <v xml:space="preserve">     El riesgo afecta la imagen de alguna área de la organización</v>
      </c>
    </row>
    <row r="218" spans="1:8" ht="21">
      <c r="A218" s="76"/>
      <c r="B218" s="23" t="s">
        <v>53</v>
      </c>
      <c r="C218" s="23" t="s">
        <v>95</v>
      </c>
      <c r="E218" t="s">
        <v>94</v>
      </c>
      <c r="F218" t="str">
        <f t="shared" si="0"/>
        <v xml:space="preserve">     El riesgo afecta la imagen de la entidad internamente, de conocimiento general, nivel interno, de junta dircetiva y accionistas y/o de provedores</v>
      </c>
    </row>
    <row r="219" spans="1:8" ht="21">
      <c r="A219" s="76"/>
      <c r="B219" s="23" t="s">
        <v>53</v>
      </c>
      <c r="C219" s="23" t="s">
        <v>110</v>
      </c>
      <c r="E219" t="s">
        <v>96</v>
      </c>
      <c r="F219" t="str">
        <f t="shared" si="0"/>
        <v xml:space="preserve">     El riesgo afecta la imagen de la entidad con algunos usuarios de relevancia frente al logro de los objetivos</v>
      </c>
    </row>
    <row r="220" spans="1:8">
      <c r="A220" s="76"/>
      <c r="B220" s="24"/>
      <c r="C220" s="24"/>
      <c r="E220" t="s">
        <v>95</v>
      </c>
      <c r="F220" t="str">
        <f t="shared" si="0"/>
        <v xml:space="preserve">     El riesgo afecta la imagen de de la entidad con efecto publicitario sostenido a nivel de sector administrativo, nivel departamental o municipal</v>
      </c>
    </row>
    <row r="221" spans="1:8">
      <c r="A221" s="76"/>
      <c r="B221" s="24" t="e" cm="1">
        <f t="array" aca="1" ref="B221:B223" ca="1">_xlfn.UNIQUE(Tabla1[[#All],[Criterios]])</f>
        <v>#NAME?</v>
      </c>
      <c r="C221" s="24"/>
      <c r="E221" t="s">
        <v>110</v>
      </c>
      <c r="F221" t="str">
        <f t="shared" si="0"/>
        <v xml:space="preserve">     El riesgo afecta la imagen de la entidad a nivel nacional, con efecto publicitarios sostenible a nivel país</v>
      </c>
    </row>
    <row r="222" spans="1:8">
      <c r="A222" s="76"/>
      <c r="B222" s="24" t="e">
        <f ca="1"/>
        <v>#NAME?</v>
      </c>
      <c r="C222" s="24"/>
    </row>
    <row r="223" spans="1:8">
      <c r="B223" s="24" t="e">
        <f ca="1"/>
        <v>#NAME?</v>
      </c>
      <c r="C223" s="24"/>
      <c r="F223" s="27" t="s">
        <v>134</v>
      </c>
    </row>
    <row r="224" spans="1:8">
      <c r="B224" s="19"/>
      <c r="C224" s="19"/>
      <c r="F224" s="27" t="s">
        <v>135</v>
      </c>
    </row>
    <row r="225" spans="2:4">
      <c r="B225" s="19"/>
      <c r="C225" s="19"/>
    </row>
    <row r="226" spans="2:4">
      <c r="B226" s="19"/>
      <c r="C226" s="19"/>
    </row>
    <row r="227" spans="2:4">
      <c r="B227" s="19"/>
      <c r="C227" s="19"/>
      <c r="D227" s="19"/>
    </row>
    <row r="228" spans="2:4">
      <c r="B228" s="19"/>
      <c r="C228" s="19"/>
      <c r="D228" s="19"/>
    </row>
    <row r="229" spans="2:4">
      <c r="B229" s="19"/>
      <c r="C229" s="19"/>
      <c r="D229" s="19"/>
    </row>
    <row r="230" spans="2:4">
      <c r="B230" s="19"/>
      <c r="C230" s="19"/>
      <c r="D230" s="19"/>
    </row>
    <row r="231" spans="2:4">
      <c r="B231" s="19"/>
      <c r="C231" s="19"/>
      <c r="D231" s="19"/>
    </row>
    <row r="232" spans="2:4">
      <c r="B232" s="19"/>
      <c r="C232" s="19"/>
      <c r="D232" s="19"/>
    </row>
  </sheetData>
  <sheetProtection algorithmName="SHA-512" hashValue="bdaei72/h1RY8Uv/jhJ49Pa7Kh+wF9xbzeR23kbeXKAtdUZySdqJwNzMmkSxu9AE8sKoz1XJDAtjCsgHCPjJXw==" saltValue="x+iyTHpjI+n+1NxYUHzlmw==" spinCount="100000" sheet="1" objects="1" scenarios="1"/>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16"/>
  <sheetViews>
    <sheetView topLeftCell="A7" workbookViewId="0">
      <selection activeCell="E11" sqref="E11"/>
    </sheetView>
  </sheetViews>
  <sheetFormatPr baseColWidth="10" defaultColWidth="14.28515625" defaultRowHeight="12.75"/>
  <cols>
    <col min="1" max="2" width="14.28515625" style="81"/>
    <col min="3" max="3" width="17" style="81" customWidth="1"/>
    <col min="4" max="4" width="14.28515625" style="81"/>
    <col min="5" max="5" width="46" style="81" customWidth="1"/>
    <col min="6" max="16384" width="14.28515625" style="81"/>
  </cols>
  <sheetData>
    <row r="1" spans="2:6" ht="24" customHeight="1" thickBot="1">
      <c r="B1" s="567" t="s">
        <v>74</v>
      </c>
      <c r="C1" s="568"/>
      <c r="D1" s="568"/>
      <c r="E1" s="568"/>
      <c r="F1" s="569"/>
    </row>
    <row r="2" spans="2:6" ht="16.5" thickBot="1">
      <c r="B2" s="82"/>
      <c r="C2" s="82"/>
      <c r="D2" s="82"/>
      <c r="E2" s="82"/>
      <c r="F2" s="82"/>
    </row>
    <row r="3" spans="2:6" ht="16.5" thickBot="1">
      <c r="B3" s="571" t="s">
        <v>60</v>
      </c>
      <c r="C3" s="572"/>
      <c r="D3" s="572"/>
      <c r="E3" s="94" t="s">
        <v>61</v>
      </c>
      <c r="F3" s="95" t="s">
        <v>62</v>
      </c>
    </row>
    <row r="4" spans="2:6" ht="31.5">
      <c r="B4" s="573" t="s">
        <v>63</v>
      </c>
      <c r="C4" s="575" t="s">
        <v>13</v>
      </c>
      <c r="D4" s="83" t="s">
        <v>14</v>
      </c>
      <c r="E4" s="84" t="s">
        <v>64</v>
      </c>
      <c r="F4" s="85">
        <v>0.25</v>
      </c>
    </row>
    <row r="5" spans="2:6" ht="47.25">
      <c r="B5" s="574"/>
      <c r="C5" s="576"/>
      <c r="D5" s="86" t="s">
        <v>15</v>
      </c>
      <c r="E5" s="87" t="s">
        <v>65</v>
      </c>
      <c r="F5" s="88">
        <v>0.15</v>
      </c>
    </row>
    <row r="6" spans="2:6" ht="47.25">
      <c r="B6" s="574"/>
      <c r="C6" s="576"/>
      <c r="D6" s="86" t="s">
        <v>16</v>
      </c>
      <c r="E6" s="87" t="s">
        <v>66</v>
      </c>
      <c r="F6" s="88">
        <v>0.1</v>
      </c>
    </row>
    <row r="7" spans="2:6" ht="63">
      <c r="B7" s="574"/>
      <c r="C7" s="576" t="s">
        <v>17</v>
      </c>
      <c r="D7" s="86" t="s">
        <v>10</v>
      </c>
      <c r="E7" s="87" t="s">
        <v>67</v>
      </c>
      <c r="F7" s="88">
        <v>0.25</v>
      </c>
    </row>
    <row r="8" spans="2:6" ht="31.5">
      <c r="B8" s="574"/>
      <c r="C8" s="576"/>
      <c r="D8" s="86" t="s">
        <v>9</v>
      </c>
      <c r="E8" s="87" t="s">
        <v>68</v>
      </c>
      <c r="F8" s="88">
        <v>0.15</v>
      </c>
    </row>
    <row r="9" spans="2:6" ht="47.25">
      <c r="B9" s="574" t="s">
        <v>148</v>
      </c>
      <c r="C9" s="576" t="s">
        <v>18</v>
      </c>
      <c r="D9" s="86" t="s">
        <v>19</v>
      </c>
      <c r="E9" s="87" t="s">
        <v>69</v>
      </c>
      <c r="F9" s="89" t="s">
        <v>70</v>
      </c>
    </row>
    <row r="10" spans="2:6" ht="63">
      <c r="B10" s="574"/>
      <c r="C10" s="576"/>
      <c r="D10" s="86" t="s">
        <v>20</v>
      </c>
      <c r="E10" s="87" t="s">
        <v>71</v>
      </c>
      <c r="F10" s="89" t="s">
        <v>70</v>
      </c>
    </row>
    <row r="11" spans="2:6" ht="47.25">
      <c r="B11" s="574"/>
      <c r="C11" s="576" t="s">
        <v>21</v>
      </c>
      <c r="D11" s="86" t="s">
        <v>22</v>
      </c>
      <c r="E11" s="87" t="s">
        <v>72</v>
      </c>
      <c r="F11" s="89" t="s">
        <v>70</v>
      </c>
    </row>
    <row r="12" spans="2:6" ht="47.25">
      <c r="B12" s="574"/>
      <c r="C12" s="576"/>
      <c r="D12" s="86" t="s">
        <v>23</v>
      </c>
      <c r="E12" s="87" t="s">
        <v>73</v>
      </c>
      <c r="F12" s="89" t="s">
        <v>70</v>
      </c>
    </row>
    <row r="13" spans="2:6" ht="31.5">
      <c r="B13" s="574"/>
      <c r="C13" s="576" t="s">
        <v>24</v>
      </c>
      <c r="D13" s="86" t="s">
        <v>111</v>
      </c>
      <c r="E13" s="87" t="s">
        <v>114</v>
      </c>
      <c r="F13" s="89" t="s">
        <v>70</v>
      </c>
    </row>
    <row r="14" spans="2:6" ht="32.25" thickBot="1">
      <c r="B14" s="577"/>
      <c r="C14" s="578"/>
      <c r="D14" s="90" t="s">
        <v>112</v>
      </c>
      <c r="E14" s="91" t="s">
        <v>113</v>
      </c>
      <c r="F14" s="92" t="s">
        <v>70</v>
      </c>
    </row>
    <row r="15" spans="2:6" ht="49.5" customHeight="1">
      <c r="B15" s="570" t="s">
        <v>145</v>
      </c>
      <c r="C15" s="570"/>
      <c r="D15" s="570"/>
      <c r="E15" s="570"/>
      <c r="F15" s="570"/>
    </row>
    <row r="16" spans="2:6" ht="27" customHeight="1">
      <c r="B16" s="93"/>
    </row>
  </sheetData>
  <sheetProtection algorithmName="SHA-512" hashValue="7cGzv1fbYb1lq+eF/wm42gAgPKvPTsVtwM2pyuqP7V0YBGrtJkp2Zj2CMJsJTrA2KORsAsOB7Aobj+cRJkrXEQ==" saltValue="8gfaOvzOTzsU93vIkZV2fw==" spinCount="100000" sheet="1" objects="1" scenarios="1"/>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E483D336290A34A982C2316D60A1F4D" ma:contentTypeVersion="37" ma:contentTypeDescription="Crear nuevo documento." ma:contentTypeScope="" ma:versionID="c01331f7e3e97021185eed4f927270ce">
  <xsd:schema xmlns:xsd="http://www.w3.org/2001/XMLSchema" xmlns:xs="http://www.w3.org/2001/XMLSchema" xmlns:p="http://schemas.microsoft.com/office/2006/metadata/properties" xmlns:ns1="http://schemas.microsoft.com/sharepoint/v3" xmlns:ns2="89e9cb8a-dc97-4f6c-ba01-496577f92a9f" xmlns:ns3="a667fc92-1df2-4b7e-93f2-6268b04510a2" targetNamespace="http://schemas.microsoft.com/office/2006/metadata/properties" ma:root="true" ma:fieldsID="da8d1ab59c20b2cb6a4f731a049a7ff1" ns1:_="" ns2:_="" ns3:_="">
    <xsd:import namespace="http://schemas.microsoft.com/sharepoint/v3"/>
    <xsd:import namespace="89e9cb8a-dc97-4f6c-ba01-496577f92a9f"/>
    <xsd:import namespace="a667fc92-1df2-4b7e-93f2-6268b04510a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ETIQUETA" minOccurs="0"/>
                <xsd:element ref="ns2:PalabrasClave" minOccurs="0"/>
                <xsd:element ref="ns2:Filtro" minOccurs="0"/>
                <xsd:element ref="ns2:Favoritos" minOccurs="0"/>
                <xsd:element ref="ns2:MediaLengthInSeconds" minOccurs="0"/>
                <xsd:element ref="ns3:SharedWithUsers" minOccurs="0"/>
                <xsd:element ref="ns3:SharedWithDetails" minOccurs="0"/>
                <xsd:element ref="ns2:MediaServiceDateTaken" minOccurs="0"/>
                <xsd:element ref="ns2:ACTUALIZADO" minOccurs="0"/>
                <xsd:element ref="ns1:PercentComplete" minOccurs="0"/>
                <xsd:element ref="ns2:Eleccion" minOccurs="0"/>
                <xsd:element ref="ns2:COLOR" minOccurs="0"/>
                <xsd:element ref="ns2:MediaServiceObjectDetectorVersions" minOccurs="0"/>
                <xsd:element ref="ns2:MediaServiceLocation"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25" nillable="true" ma:displayName="% completado" ma:internalName="PercentComplete" ma:percentage="TRUE">
      <xsd:simpleType>
        <xsd:restriction base="dms:Number">
          <xsd:maxInclusive value="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9e9cb8a-dc97-4f6c-ba01-496577f92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TIQUETA" ma:index="16" nillable="true" ma:displayName="ETIQUETA" ma:format="Dropdown" ma:internalName="ETIQUETA">
      <xsd:simpleType>
        <xsd:restriction base="dms:Choice">
          <xsd:enumeration value="BASE DE DATOS"/>
          <xsd:enumeration value="ADMINISTRATIVO"/>
          <xsd:enumeration value="Opción 3"/>
          <xsd:enumeration value="Opción 4"/>
          <xsd:enumeration value="Opción 5"/>
          <xsd:enumeration value="Opción 6"/>
          <xsd:enumeration value="Opción 7"/>
          <xsd:enumeration value="Opción 8"/>
        </xsd:restriction>
      </xsd:simpleType>
    </xsd:element>
    <xsd:element name="PalabrasClave" ma:index="17" nillable="true" ma:displayName="Palabras Clave " ma:format="Dropdown" ma:internalName="PalabrasClave">
      <xsd:simpleType>
        <xsd:restriction base="dms:Text">
          <xsd:maxLength value="255"/>
        </xsd:restriction>
      </xsd:simpleType>
    </xsd:element>
    <xsd:element name="Filtro" ma:index="18" nillable="true" ma:displayName="Filtro" ma:format="Dropdown" ma:internalName="Filtro">
      <xsd:simpleType>
        <xsd:restriction base="dms:Choice">
          <xsd:enumeration value="BASE DE DATOS"/>
          <xsd:enumeration value="Opción 2"/>
          <xsd:enumeration value="Opción 3"/>
        </xsd:restriction>
      </xsd:simpleType>
    </xsd:element>
    <xsd:element name="Favoritos" ma:index="19" nillable="true" ma:displayName="Favoritos" ma:default="0" ma:format="Dropdown" ma:internalName="Favoritos">
      <xsd:simpleType>
        <xsd:restriction base="dms:Boolean"/>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ACTUALIZADO" ma:index="24" nillable="true" ma:displayName="ACTUALIZADO " ma:format="RadioButtons" ma:internalName="ACTUALIZADO">
      <xsd:simpleType>
        <xsd:restriction base="dms:Choice">
          <xsd:enumeration value="si"/>
          <xsd:enumeration value="no"/>
        </xsd:restriction>
      </xsd:simpleType>
    </xsd:element>
    <xsd:element name="Eleccion" ma:index="26" nillable="true" ma:displayName="Eleccion" ma:format="Dropdown" ma:internalName="Eleccion">
      <xsd:simpleType>
        <xsd:restriction base="dms:Choice">
          <xsd:enumeration value="IMPORTANTE"/>
          <xsd:enumeration value="EQUIP ADMINISTRATIVO"/>
          <xsd:enumeration value="Opción 3"/>
        </xsd:restriction>
      </xsd:simpleType>
    </xsd:element>
    <xsd:element name="COLOR" ma:index="27" nillable="true" ma:displayName="COLOR" ma:format="Dropdown" ma:internalName="COLOR">
      <xsd:simpleType>
        <xsd:union memberTypes="dms:Text">
          <xsd:simpleType>
            <xsd:restriction base="dms:Choice">
              <xsd:enumeration value="VERDE"/>
              <xsd:enumeration value="ROJO"/>
              <xsd:enumeration value="NARANJA"/>
              <xsd:enumeration value="AZUL"/>
              <xsd:enumeration value="MORADO"/>
            </xsd:restriction>
          </xsd:simpleType>
        </xsd:un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element name="Descripci_x00f3_n" ma:index="30" nillable="true" ma:displayName="Descripción " ma:format="Dropdown" ma:internalName="Descripci_x00f3_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7fc92-1df2-4b7e-93f2-6268b04510a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109e7e8-59e1-4cc9-bc22-d1df10847dae}" ma:internalName="TaxCatchAll" ma:showField="CatchAllData" ma:web="a667fc92-1df2-4b7e-93f2-6268b04510a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tro xmlns="89e9cb8a-dc97-4f6c-ba01-496577f92a9f" xsi:nil="true"/>
    <TaxCatchAll xmlns="a667fc92-1df2-4b7e-93f2-6268b04510a2" xsi:nil="true"/>
    <ETIQUETA xmlns="89e9cb8a-dc97-4f6c-ba01-496577f92a9f" xsi:nil="true"/>
    <Eleccion xmlns="89e9cb8a-dc97-4f6c-ba01-496577f92a9f" xsi:nil="true"/>
    <Favoritos xmlns="89e9cb8a-dc97-4f6c-ba01-496577f92a9f">false</Favoritos>
    <COLOR xmlns="89e9cb8a-dc97-4f6c-ba01-496577f92a9f" xsi:nil="true"/>
    <PalabrasClave xmlns="89e9cb8a-dc97-4f6c-ba01-496577f92a9f" xsi:nil="true"/>
    <PercentComplete xmlns="http://schemas.microsoft.com/sharepoint/v3" xsi:nil="true"/>
    <lcf76f155ced4ddcb4097134ff3c332f xmlns="89e9cb8a-dc97-4f6c-ba01-496577f92a9f">
      <Terms xmlns="http://schemas.microsoft.com/office/infopath/2007/PartnerControls"/>
    </lcf76f155ced4ddcb4097134ff3c332f>
    <ACTUALIZADO xmlns="89e9cb8a-dc97-4f6c-ba01-496577f92a9f" xsi:nil="true"/>
    <Descripci_x00f3_n xmlns="89e9cb8a-dc97-4f6c-ba01-496577f92a9f" xsi:nil="true"/>
  </documentManagement>
</p:properties>
</file>

<file path=customXml/itemProps1.xml><?xml version="1.0" encoding="utf-8"?>
<ds:datastoreItem xmlns:ds="http://schemas.openxmlformats.org/officeDocument/2006/customXml" ds:itemID="{4B4352AA-72A9-4939-A39C-F04AD2164BE2}"/>
</file>

<file path=customXml/itemProps2.xml><?xml version="1.0" encoding="utf-8"?>
<ds:datastoreItem xmlns:ds="http://schemas.openxmlformats.org/officeDocument/2006/customXml" ds:itemID="{A52EDC1F-F126-4B70-921E-5DAA52AAB32C}"/>
</file>

<file path=customXml/itemProps3.xml><?xml version="1.0" encoding="utf-8"?>
<ds:datastoreItem xmlns:ds="http://schemas.openxmlformats.org/officeDocument/2006/customXml" ds:itemID="{B708652A-96F1-4BA9-A46F-0E09E7CAA1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Instructivo</vt:lpstr>
      <vt:lpstr>Mapa Riesgos</vt:lpstr>
      <vt:lpstr>Hoja2</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Tomas Valbuena Sanabria</cp:lastModifiedBy>
  <cp:lastPrinted>2022-04-08T20:12:11Z</cp:lastPrinted>
  <dcterms:created xsi:type="dcterms:W3CDTF">2020-03-24T23:12:47Z</dcterms:created>
  <dcterms:modified xsi:type="dcterms:W3CDTF">2022-09-01T20:54:00Z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0x010100BE483D336290A34A982C2316D60A1F4D</vt:lpwstr>
  </property>
</Properties>
</file>